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filterPrivacy="1" codeName="DieseArbeitsmappe" hidePivotFieldList="1" defaultThemeVersion="124226"/>
  <xr:revisionPtr revIDLastSave="0" documentId="13_ncr:1_{AEB00A6C-9BAE-4CCD-8E17-1CFBBEFD5EC8}" xr6:coauthVersionLast="40" xr6:coauthVersionMax="40" xr10:uidLastSave="{00000000-0000-0000-0000-000000000000}"/>
  <bookViews>
    <workbookView xWindow="0" yWindow="0" windowWidth="28800" windowHeight="14025" xr2:uid="{00000000-000D-0000-FFFF-FFFF00000000}"/>
  </bookViews>
  <sheets>
    <sheet name="Erfassung" sheetId="1" r:id="rId1"/>
    <sheet name="Verbuchung" sheetId="4" r:id="rId2"/>
    <sheet name="Konfiguration" sheetId="3" r:id="rId3"/>
  </sheets>
  <definedNames>
    <definedName name="_xlcn.WorksheetConnection_Spesenformular2018.xlsxErfassung1" hidden="1">Erfassung[]</definedName>
    <definedName name="_xlnm.Print_Titles" localSheetId="0">Erfassung!$1:$8</definedName>
    <definedName name="Konto">Konfiguration!$B$5:$B$18</definedName>
    <definedName name="MWSTCode">Konfiguration!$B$37:$B$42</definedName>
    <definedName name="MWSTSteuersatz">Konfiguration!$C$37:$C$42</definedName>
    <definedName name="Rundung">Erfassung!$P$4</definedName>
    <definedName name="Rundungsmodi">Konfiguration!$B$46:$B$47</definedName>
  </definedNames>
  <calcPr calcId="181029"/>
  <pivotCaches>
    <pivotCache cacheId="11" r:id="rId4"/>
  </pivotCaches>
  <extLst>
    <ext xmlns:x15="http://schemas.microsoft.com/office/spreadsheetml/2010/11/main" uri="{FCE2AD5D-F65C-4FA6-A056-5C36A1767C68}">
      <x15:dataModel>
        <x15:modelTables>
          <x15:modelTable id="Erfassung" name="Erfassung" connection="WorksheetConnection_Spesenformular 2018.xlsx!Erfassung"/>
        </x15:modelTables>
      </x15:dataModel>
    </ext>
  </extLst>
</workbook>
</file>

<file path=xl/calcChain.xml><?xml version="1.0" encoding="utf-8"?>
<calcChain xmlns="http://schemas.openxmlformats.org/spreadsheetml/2006/main">
  <c r="Q10" i="1" l="1"/>
  <c r="F9" i="4"/>
  <c r="E9" i="4"/>
  <c r="I9" i="4"/>
  <c r="B9" i="4"/>
  <c r="D9" i="4"/>
  <c r="G9" i="4"/>
  <c r="C9" i="4"/>
  <c r="H9" i="4" l="1"/>
  <c r="G5" i="4"/>
  <c r="G3" i="4"/>
  <c r="B7" i="4"/>
  <c r="B5" i="4"/>
  <c r="B3" i="4"/>
  <c r="V9" i="1"/>
  <c r="V10" i="1"/>
  <c r="V11" i="1"/>
  <c r="V13" i="1"/>
  <c r="V14" i="1"/>
  <c r="V15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U9" i="1"/>
  <c r="U11" i="1"/>
  <c r="U12" i="1"/>
  <c r="U13" i="1"/>
  <c r="U14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T10" i="1"/>
  <c r="T11" i="1"/>
  <c r="T12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S9" i="1"/>
  <c r="S10" i="1"/>
  <c r="S11" i="1"/>
  <c r="S12" i="1"/>
  <c r="S13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R9" i="1"/>
  <c r="R11" i="1"/>
  <c r="R14" i="1"/>
  <c r="R15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A50" i="1" l="1"/>
  <c r="A51" i="1"/>
  <c r="A52" i="1"/>
  <c r="A53" i="1"/>
  <c r="A54" i="1"/>
  <c r="A55" i="1"/>
  <c r="A56" i="1"/>
  <c r="A57" i="1"/>
  <c r="A58" i="1"/>
  <c r="A59" i="1"/>
  <c r="A60" i="1"/>
  <c r="A61" i="1"/>
  <c r="A62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A45" i="1" l="1"/>
  <c r="A46" i="1"/>
  <c r="A47" i="1"/>
  <c r="A48" i="1"/>
  <c r="A49" i="1"/>
  <c r="A63" i="1"/>
  <c r="A64" i="1"/>
  <c r="A65" i="1"/>
  <c r="A66" i="1"/>
  <c r="M45" i="1"/>
  <c r="M46" i="1"/>
  <c r="M47" i="1"/>
  <c r="M48" i="1"/>
  <c r="M49" i="1"/>
  <c r="M63" i="1"/>
  <c r="M64" i="1"/>
  <c r="M65" i="1"/>
  <c r="M66" i="1"/>
  <c r="N45" i="1"/>
  <c r="N46" i="1"/>
  <c r="N47" i="1"/>
  <c r="N48" i="1"/>
  <c r="N49" i="1"/>
  <c r="N63" i="1"/>
  <c r="N64" i="1"/>
  <c r="N65" i="1"/>
  <c r="N66" i="1"/>
  <c r="A9" i="1" l="1"/>
  <c r="A40" i="1"/>
  <c r="A41" i="1"/>
  <c r="A42" i="1"/>
  <c r="A43" i="1"/>
  <c r="A44" i="1"/>
  <c r="A67" i="1"/>
  <c r="A68" i="1"/>
  <c r="A69" i="1"/>
  <c r="A70" i="1"/>
  <c r="M40" i="1"/>
  <c r="M41" i="1"/>
  <c r="M42" i="1"/>
  <c r="M43" i="1"/>
  <c r="M67" i="1"/>
  <c r="M68" i="1"/>
  <c r="M69" i="1"/>
  <c r="M70" i="1"/>
  <c r="N40" i="1"/>
  <c r="N41" i="1"/>
  <c r="N42" i="1"/>
  <c r="N43" i="1"/>
  <c r="N44" i="1"/>
  <c r="N67" i="1"/>
  <c r="N68" i="1"/>
  <c r="N69" i="1"/>
  <c r="N70" i="1"/>
  <c r="A27" i="1"/>
  <c r="A28" i="1"/>
  <c r="A29" i="1"/>
  <c r="A30" i="1"/>
  <c r="A31" i="1"/>
  <c r="A32" i="1"/>
  <c r="A33" i="1"/>
  <c r="M27" i="1"/>
  <c r="M28" i="1"/>
  <c r="M29" i="1"/>
  <c r="M30" i="1"/>
  <c r="M31" i="1"/>
  <c r="M32" i="1"/>
  <c r="M33" i="1"/>
  <c r="N27" i="1"/>
  <c r="N28" i="1"/>
  <c r="N29" i="1"/>
  <c r="N30" i="1"/>
  <c r="N31" i="1"/>
  <c r="N32" i="1"/>
  <c r="N33" i="1"/>
  <c r="P4" i="1"/>
  <c r="J53" i="1" l="1"/>
  <c r="Q53" i="1" s="1"/>
  <c r="J57" i="1"/>
  <c r="Q57" i="1" s="1"/>
  <c r="J61" i="1"/>
  <c r="Q61" i="1" s="1"/>
  <c r="J56" i="1"/>
  <c r="Q56" i="1" s="1"/>
  <c r="J50" i="1"/>
  <c r="Q50" i="1" s="1"/>
  <c r="J54" i="1"/>
  <c r="Q54" i="1" s="1"/>
  <c r="J58" i="1"/>
  <c r="Q58" i="1" s="1"/>
  <c r="J62" i="1"/>
  <c r="Q62" i="1" s="1"/>
  <c r="J60" i="1"/>
  <c r="Q60" i="1" s="1"/>
  <c r="J51" i="1"/>
  <c r="Q51" i="1" s="1"/>
  <c r="J55" i="1"/>
  <c r="Q55" i="1" s="1"/>
  <c r="J59" i="1"/>
  <c r="Q59" i="1" s="1"/>
  <c r="J52" i="1"/>
  <c r="Q52" i="1" s="1"/>
  <c r="J46" i="1"/>
  <c r="Q46" i="1" s="1"/>
  <c r="J65" i="1"/>
  <c r="Q65" i="1" s="1"/>
  <c r="J47" i="1"/>
  <c r="Q47" i="1" s="1"/>
  <c r="J64" i="1"/>
  <c r="Q64" i="1" s="1"/>
  <c r="J66" i="1"/>
  <c r="Q66" i="1" s="1"/>
  <c r="J48" i="1"/>
  <c r="Q48" i="1" s="1"/>
  <c r="J45" i="1"/>
  <c r="Q45" i="1" s="1"/>
  <c r="J49" i="1"/>
  <c r="Q49" i="1" s="1"/>
  <c r="J63" i="1"/>
  <c r="Q63" i="1" s="1"/>
  <c r="J28" i="1"/>
  <c r="J15" i="1"/>
  <c r="Q15" i="1" s="1"/>
  <c r="J68" i="1"/>
  <c r="Q68" i="1" s="1"/>
  <c r="J42" i="1"/>
  <c r="Q42" i="1" s="1"/>
  <c r="J67" i="1"/>
  <c r="Q67" i="1" s="1"/>
  <c r="J41" i="1"/>
  <c r="Q41" i="1" s="1"/>
  <c r="J70" i="1"/>
  <c r="Q70" i="1" s="1"/>
  <c r="J44" i="1"/>
  <c r="J40" i="1"/>
  <c r="Q40" i="1" s="1"/>
  <c r="J69" i="1"/>
  <c r="Q69" i="1" s="1"/>
  <c r="J43" i="1"/>
  <c r="Q43" i="1" s="1"/>
  <c r="J31" i="1"/>
  <c r="Q31" i="1" s="1"/>
  <c r="J27" i="1"/>
  <c r="Q27" i="1" s="1"/>
  <c r="J30" i="1"/>
  <c r="Q30" i="1" s="1"/>
  <c r="J33" i="1"/>
  <c r="Q33" i="1" s="1"/>
  <c r="J29" i="1"/>
  <c r="Q29" i="1" s="1"/>
  <c r="J32" i="1"/>
  <c r="Q32" i="1" s="1"/>
  <c r="A71" i="1"/>
  <c r="A72" i="1"/>
  <c r="A73" i="1"/>
  <c r="J71" i="1"/>
  <c r="J72" i="1"/>
  <c r="Q72" i="1" s="1"/>
  <c r="J73" i="1"/>
  <c r="M71" i="1"/>
  <c r="M72" i="1"/>
  <c r="M73" i="1"/>
  <c r="N71" i="1"/>
  <c r="N72" i="1"/>
  <c r="N73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34" i="1"/>
  <c r="A35" i="1"/>
  <c r="A36" i="1"/>
  <c r="A37" i="1"/>
  <c r="A38" i="1"/>
  <c r="A39" i="1"/>
  <c r="A74" i="1"/>
  <c r="A75" i="1"/>
  <c r="A76" i="1"/>
  <c r="A77" i="1"/>
  <c r="A78" i="1"/>
  <c r="J76" i="1"/>
  <c r="M76" i="1"/>
  <c r="N76" i="1"/>
  <c r="J9" i="1"/>
  <c r="Q44" i="1" l="1"/>
  <c r="S44" i="1"/>
  <c r="T15" i="1"/>
  <c r="U15" i="1"/>
  <c r="K76" i="1"/>
  <c r="Q76" i="1"/>
  <c r="K71" i="1"/>
  <c r="L71" i="1" s="1"/>
  <c r="Q71" i="1"/>
  <c r="K28" i="1"/>
  <c r="L28" i="1" s="1"/>
  <c r="Q28" i="1"/>
  <c r="K73" i="1"/>
  <c r="L73" i="1" s="1"/>
  <c r="Q73" i="1"/>
  <c r="T9" i="1"/>
  <c r="Q9" i="1"/>
  <c r="K59" i="1"/>
  <c r="L59" i="1" s="1"/>
  <c r="K62" i="1"/>
  <c r="L62" i="1" s="1"/>
  <c r="K56" i="1"/>
  <c r="L56" i="1" s="1"/>
  <c r="K55" i="1"/>
  <c r="L55" i="1" s="1"/>
  <c r="K58" i="1"/>
  <c r="L58" i="1" s="1"/>
  <c r="K61" i="1"/>
  <c r="L61" i="1" s="1"/>
  <c r="K51" i="1"/>
  <c r="L51" i="1" s="1"/>
  <c r="K54" i="1"/>
  <c r="L54" i="1" s="1"/>
  <c r="K57" i="1"/>
  <c r="L57" i="1" s="1"/>
  <c r="K52" i="1"/>
  <c r="L52" i="1" s="1"/>
  <c r="K60" i="1"/>
  <c r="L60" i="1" s="1"/>
  <c r="K50" i="1"/>
  <c r="L50" i="1" s="1"/>
  <c r="K53" i="1"/>
  <c r="L53" i="1" s="1"/>
  <c r="K49" i="1"/>
  <c r="L49" i="1" s="1"/>
  <c r="K66" i="1"/>
  <c r="L66" i="1" s="1"/>
  <c r="K46" i="1"/>
  <c r="L46" i="1" s="1"/>
  <c r="K45" i="1"/>
  <c r="L45" i="1" s="1"/>
  <c r="K64" i="1"/>
  <c r="L64" i="1" s="1"/>
  <c r="K63" i="1"/>
  <c r="L63" i="1" s="1"/>
  <c r="K47" i="1"/>
  <c r="L47" i="1" s="1"/>
  <c r="K48" i="1"/>
  <c r="L48" i="1" s="1"/>
  <c r="K65" i="1"/>
  <c r="L65" i="1" s="1"/>
  <c r="K69" i="1"/>
  <c r="L69" i="1" s="1"/>
  <c r="K41" i="1"/>
  <c r="L41" i="1" s="1"/>
  <c r="K40" i="1"/>
  <c r="L40" i="1" s="1"/>
  <c r="K67" i="1"/>
  <c r="L67" i="1" s="1"/>
  <c r="K44" i="1"/>
  <c r="K42" i="1"/>
  <c r="L42" i="1" s="1"/>
  <c r="K43" i="1"/>
  <c r="L43" i="1" s="1"/>
  <c r="K70" i="1"/>
  <c r="L70" i="1" s="1"/>
  <c r="K68" i="1"/>
  <c r="L68" i="1" s="1"/>
  <c r="K32" i="1"/>
  <c r="L32" i="1" s="1"/>
  <c r="K27" i="1"/>
  <c r="L27" i="1" s="1"/>
  <c r="K29" i="1"/>
  <c r="L29" i="1" s="1"/>
  <c r="K31" i="1"/>
  <c r="L31" i="1" s="1"/>
  <c r="K33" i="1"/>
  <c r="L33" i="1" s="1"/>
  <c r="K30" i="1"/>
  <c r="L30" i="1" s="1"/>
  <c r="K72" i="1"/>
  <c r="L72" i="1" s="1"/>
  <c r="L76" i="1"/>
  <c r="L44" i="1" l="1"/>
  <c r="M44" i="1"/>
  <c r="J74" i="1"/>
  <c r="M74" i="1"/>
  <c r="N74" i="1"/>
  <c r="N14" i="1"/>
  <c r="N19" i="1"/>
  <c r="N20" i="1"/>
  <c r="N21" i="1"/>
  <c r="N23" i="1"/>
  <c r="N24" i="1"/>
  <c r="N25" i="1"/>
  <c r="N34" i="1"/>
  <c r="N35" i="1"/>
  <c r="N36" i="1"/>
  <c r="N37" i="1"/>
  <c r="N38" i="1"/>
  <c r="N39" i="1"/>
  <c r="N75" i="1"/>
  <c r="N77" i="1"/>
  <c r="M15" i="1"/>
  <c r="M22" i="1"/>
  <c r="M25" i="1"/>
  <c r="M26" i="1"/>
  <c r="M34" i="1"/>
  <c r="M36" i="1"/>
  <c r="M37" i="1"/>
  <c r="M38" i="1"/>
  <c r="M39" i="1"/>
  <c r="M75" i="1"/>
  <c r="M77" i="1"/>
  <c r="M11" i="1"/>
  <c r="K74" i="1" l="1"/>
  <c r="L74" i="1" s="1"/>
  <c r="Q74" i="1"/>
  <c r="O34" i="1" l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75" i="1"/>
  <c r="P75" i="1" s="1"/>
  <c r="O77" i="1"/>
  <c r="P77" i="1" s="1"/>
  <c r="O78" i="1"/>
  <c r="P78" i="1" s="1"/>
  <c r="J10" i="1"/>
  <c r="R10" i="1" s="1"/>
  <c r="J11" i="1"/>
  <c r="Q11" i="1" s="1"/>
  <c r="J12" i="1"/>
  <c r="Q12" i="1" s="1"/>
  <c r="J13" i="1"/>
  <c r="T13" i="1" s="1"/>
  <c r="T80" i="1" s="1"/>
  <c r="J14" i="1"/>
  <c r="J16" i="1"/>
  <c r="J17" i="1"/>
  <c r="J18" i="1"/>
  <c r="Q18" i="1" s="1"/>
  <c r="J19" i="1"/>
  <c r="Q19" i="1" s="1"/>
  <c r="J20" i="1"/>
  <c r="Q20" i="1" s="1"/>
  <c r="J21" i="1"/>
  <c r="Q21" i="1" s="1"/>
  <c r="J22" i="1"/>
  <c r="J23" i="1"/>
  <c r="Q23" i="1" s="1"/>
  <c r="J24" i="1"/>
  <c r="J25" i="1"/>
  <c r="Q25" i="1" s="1"/>
  <c r="J26" i="1"/>
  <c r="J34" i="1"/>
  <c r="J35" i="1"/>
  <c r="Q35" i="1" s="1"/>
  <c r="J36" i="1"/>
  <c r="J37" i="1"/>
  <c r="J38" i="1"/>
  <c r="J39" i="1"/>
  <c r="J75" i="1"/>
  <c r="J77" i="1"/>
  <c r="J78" i="1"/>
  <c r="Q78" i="1" s="1"/>
  <c r="O22" i="1"/>
  <c r="P22" i="1" s="1"/>
  <c r="O23" i="1"/>
  <c r="P23" i="1" s="1"/>
  <c r="O24" i="1"/>
  <c r="P24" i="1" s="1"/>
  <c r="O25" i="1"/>
  <c r="P25" i="1" s="1"/>
  <c r="O26" i="1"/>
  <c r="P26" i="1" s="1"/>
  <c r="O9" i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S14" i="1" l="1"/>
  <c r="S80" i="1" s="1"/>
  <c r="Q14" i="1"/>
  <c r="V17" i="1"/>
  <c r="Q17" i="1"/>
  <c r="R16" i="1"/>
  <c r="Q16" i="1"/>
  <c r="V12" i="1"/>
  <c r="V80" i="1" s="1"/>
  <c r="R12" i="1"/>
  <c r="P9" i="1"/>
  <c r="O80" i="1"/>
  <c r="U10" i="1"/>
  <c r="J80" i="1"/>
  <c r="K24" i="1"/>
  <c r="L24" i="1" s="1"/>
  <c r="Q24" i="1"/>
  <c r="K77" i="1"/>
  <c r="L77" i="1" s="1"/>
  <c r="Q77" i="1"/>
  <c r="K38" i="1"/>
  <c r="L38" i="1" s="1"/>
  <c r="Q38" i="1"/>
  <c r="K34" i="1"/>
  <c r="L34" i="1" s="1"/>
  <c r="Q34" i="1"/>
  <c r="K39" i="1"/>
  <c r="L39" i="1" s="1"/>
  <c r="Q39" i="1"/>
  <c r="K37" i="1"/>
  <c r="L37" i="1" s="1"/>
  <c r="Q37" i="1"/>
  <c r="K26" i="1"/>
  <c r="Q26" i="1"/>
  <c r="K22" i="1"/>
  <c r="L22" i="1" s="1"/>
  <c r="Q22" i="1"/>
  <c r="R13" i="1"/>
  <c r="Q13" i="1"/>
  <c r="K75" i="1"/>
  <c r="L75" i="1" s="1"/>
  <c r="Q75" i="1"/>
  <c r="K36" i="1"/>
  <c r="L36" i="1" s="1"/>
  <c r="Q36" i="1"/>
  <c r="K16" i="1"/>
  <c r="N16" i="1" s="1"/>
  <c r="U16" i="1"/>
  <c r="M9" i="1"/>
  <c r="K78" i="1"/>
  <c r="M78" i="1" s="1"/>
  <c r="K12" i="1"/>
  <c r="M12" i="1" s="1"/>
  <c r="K35" i="1"/>
  <c r="L26" i="1"/>
  <c r="N26" i="1"/>
  <c r="K25" i="1"/>
  <c r="L25" i="1" s="1"/>
  <c r="N22" i="1"/>
  <c r="K13" i="1"/>
  <c r="K10" i="1"/>
  <c r="M24" i="1"/>
  <c r="K11" i="1"/>
  <c r="N11" i="1" s="1"/>
  <c r="K23" i="1"/>
  <c r="K21" i="1"/>
  <c r="K20" i="1"/>
  <c r="K15" i="1"/>
  <c r="N15" i="1" s="1"/>
  <c r="K14" i="1"/>
  <c r="M14" i="1" s="1"/>
  <c r="K17" i="1"/>
  <c r="K19" i="1"/>
  <c r="K18" i="1"/>
  <c r="R80" i="1" l="1"/>
  <c r="Q80" i="1"/>
  <c r="M13" i="1"/>
  <c r="N13" i="1"/>
  <c r="U80" i="1"/>
  <c r="M16" i="1"/>
  <c r="K9" i="1"/>
  <c r="P80" i="1"/>
  <c r="M18" i="1"/>
  <c r="N18" i="1"/>
  <c r="N12" i="1"/>
  <c r="M10" i="1"/>
  <c r="N10" i="1"/>
  <c r="L35" i="1"/>
  <c r="M35" i="1"/>
  <c r="N17" i="1"/>
  <c r="M17" i="1"/>
  <c r="L78" i="1"/>
  <c r="N78" i="1"/>
  <c r="L23" i="1"/>
  <c r="M23" i="1"/>
  <c r="L21" i="1"/>
  <c r="M21" i="1"/>
  <c r="L19" i="1"/>
  <c r="M19" i="1"/>
  <c r="L20" i="1"/>
  <c r="M20" i="1"/>
  <c r="M80" i="1" l="1"/>
  <c r="N9" i="1"/>
  <c r="N80" i="1" s="1"/>
  <c r="K80" i="1"/>
  <c r="L9" i="1"/>
  <c r="L16" i="1"/>
  <c r="L17" i="1"/>
  <c r="L18" i="1"/>
  <c r="L11" i="1" l="1"/>
  <c r="L12" i="1"/>
  <c r="L13" i="1"/>
  <c r="L14" i="1"/>
  <c r="L15" i="1"/>
  <c r="L10" i="1"/>
  <c r="L8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Spesenformular 2018.xlsx!Erfassung" type="102" refreshedVersion="6" minRefreshableVersion="5">
    <extLst>
      <ext xmlns:x15="http://schemas.microsoft.com/office/spreadsheetml/2010/11/main" uri="{DE250136-89BD-433C-8126-D09CA5730AF9}">
        <x15:connection id="Erfassung" autoDelete="1">
          <x15:rangePr sourceName="_xlcn.WorksheetConnection_Spesenformular2018.xlsxErfassung1"/>
        </x15:connection>
      </ext>
    </extLst>
  </connection>
</connections>
</file>

<file path=xl/sharedStrings.xml><?xml version="1.0" encoding="utf-8"?>
<sst xmlns="http://schemas.openxmlformats.org/spreadsheetml/2006/main" count="102" uniqueCount="73">
  <si>
    <t>Datum</t>
  </si>
  <si>
    <t>#</t>
  </si>
  <si>
    <t>Beschreibung</t>
  </si>
  <si>
    <t>Betrag</t>
  </si>
  <si>
    <t>Kurs</t>
  </si>
  <si>
    <t>Konto</t>
  </si>
  <si>
    <t>MWST-Code</t>
  </si>
  <si>
    <t>Rundung</t>
  </si>
  <si>
    <t>Konto Code</t>
  </si>
  <si>
    <t>ohne</t>
  </si>
  <si>
    <t>Steuersatz</t>
  </si>
  <si>
    <t>Firma</t>
  </si>
  <si>
    <t>6500 - Büromat./Drucksachen</t>
  </si>
  <si>
    <t>5800 - Übriger Personalaufwand</t>
  </si>
  <si>
    <t>6700 - Sonstiger Aufwand</t>
  </si>
  <si>
    <t>6641 - Reisespesen</t>
  </si>
  <si>
    <t>6600 - Werbeaufwand</t>
  </si>
  <si>
    <t>6570 - Informatikaufwand</t>
  </si>
  <si>
    <t>6520 - Beiträge/Spenden</t>
  </si>
  <si>
    <t>6513 - Porto/Transport</t>
  </si>
  <si>
    <t>6510 - Telefon/Internet</t>
  </si>
  <si>
    <t>6503 - Fachliteratur/Zeitungen</t>
  </si>
  <si>
    <t>(Leer)</t>
  </si>
  <si>
    <t>Gesamtergebnis</t>
  </si>
  <si>
    <t>VSM</t>
  </si>
  <si>
    <t>VSB</t>
  </si>
  <si>
    <t>Steuresatz2</t>
  </si>
  <si>
    <t>Spesenabrechnung</t>
  </si>
  <si>
    <t>Mandant</t>
  </si>
  <si>
    <t>Mitarbeiter</t>
  </si>
  <si>
    <t>Periode/Monat</t>
  </si>
  <si>
    <t>Jahr</t>
  </si>
  <si>
    <t>Runden</t>
  </si>
  <si>
    <t>Nein</t>
  </si>
  <si>
    <t>5 Rappen</t>
  </si>
  <si>
    <t>Rundungsmodi</t>
  </si>
  <si>
    <t>Unsichtbar -&gt;</t>
  </si>
  <si>
    <t>Konfiguration</t>
  </si>
  <si>
    <t>6130 - URE Mobiliar und Einrichtung</t>
  </si>
  <si>
    <t>6132 - URE Informatik</t>
  </si>
  <si>
    <t>XY AG</t>
  </si>
  <si>
    <t>Thomas Muster</t>
  </si>
  <si>
    <t>4400 - Drittleistungen</t>
  </si>
  <si>
    <t>6640 - Repräsentation/Akquisition</t>
  </si>
  <si>
    <t>EUR</t>
  </si>
  <si>
    <t>Migros</t>
  </si>
  <si>
    <t>Coop</t>
  </si>
  <si>
    <t>Kaffeerahm</t>
  </si>
  <si>
    <t>Rest. Sonne, Konstanz</t>
  </si>
  <si>
    <t>Kundenbesuch Müller AG</t>
  </si>
  <si>
    <t>Betrag ohne</t>
  </si>
  <si>
    <t>Betrag CHF</t>
  </si>
  <si>
    <t>Steuer-Betrag CHF</t>
  </si>
  <si>
    <t>Netto-Betrag CHF</t>
  </si>
  <si>
    <t>Währ-ung</t>
  </si>
  <si>
    <t>Spesenabrechnung Verbuchung</t>
  </si>
  <si>
    <t>Kontrollsummen CHF</t>
  </si>
  <si>
    <t>VSM 7,7</t>
  </si>
  <si>
    <t>VSM 2,5</t>
  </si>
  <si>
    <t>VSB 7,7</t>
  </si>
  <si>
    <t>VSB 2,5</t>
  </si>
  <si>
    <t>VSB 3,7</t>
  </si>
  <si>
    <t>Betrag VSM 7,7</t>
  </si>
  <si>
    <t>Betrag VSM 2,5</t>
  </si>
  <si>
    <t>Betrag VSB 7,7</t>
  </si>
  <si>
    <t>Betrag VSB 2,5</t>
  </si>
  <si>
    <t>Betrag VSB 3,7</t>
  </si>
  <si>
    <t>ohne MWST</t>
  </si>
  <si>
    <t>Total</t>
  </si>
  <si>
    <t>1. Q. 2019</t>
  </si>
  <si>
    <t>Papier</t>
  </si>
  <si>
    <t>Fantasy GmbH</t>
  </si>
  <si>
    <t>Beratung Projekt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</si>
</sst>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Segoe UI Semilight"/>
      <family val="2"/>
    </font>
    <font>
      <sz val="10"/>
      <color theme="1"/>
      <name val="Segoe UI Semilight"/>
      <family val="2"/>
    </font>
    <font>
      <b/>
      <sz val="10"/>
      <color rgb="FF000000"/>
      <name val="Arial"/>
      <family val="2"/>
    </font>
    <font>
      <sz val="11"/>
      <color theme="1"/>
      <name val="Segoe UI Semilight"/>
      <family val="2"/>
    </font>
    <font>
      <b/>
      <sz val="16"/>
      <color theme="1"/>
      <name val="Segoe UI Semilight"/>
      <family val="2"/>
    </font>
    <font>
      <sz val="12"/>
      <name val="Segoe UI Semilight"/>
      <family val="2"/>
    </font>
    <font>
      <sz val="10"/>
      <name val="Segoe UI Semilight"/>
      <family val="2"/>
    </font>
    <font>
      <b/>
      <sz val="12"/>
      <name val="Segoe UI Semilight"/>
      <family val="2"/>
    </font>
    <font>
      <b/>
      <sz val="9"/>
      <color indexed="18"/>
      <name val="Segoe UI Semilight"/>
      <family val="2"/>
    </font>
    <font>
      <b/>
      <sz val="10"/>
      <color indexed="18"/>
      <name val="Segoe UI Semilight"/>
      <family val="2"/>
    </font>
    <font>
      <sz val="9"/>
      <color theme="1"/>
      <name val="Segoe UI Semilight"/>
      <family val="2"/>
    </font>
    <font>
      <sz val="8"/>
      <color theme="1"/>
      <name val="Segoe UI Semilight"/>
      <family val="2"/>
    </font>
    <font>
      <sz val="11"/>
      <name val="Segoe UI Semilight"/>
      <family val="2"/>
    </font>
    <font>
      <b/>
      <sz val="11"/>
      <color indexed="18"/>
      <name val="Segoe UI Semilight"/>
      <family val="2"/>
    </font>
    <font>
      <sz val="8"/>
      <name val="Segoe UI Semilight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18"/>
      <name val="Segoe UI Semi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Segoe UI Semilight"/>
      <family val="2"/>
    </font>
    <font>
      <b/>
      <sz val="8"/>
      <color theme="1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90">
    <xf numFmtId="0" fontId="0" fillId="0" borderId="0" xfId="0"/>
    <xf numFmtId="0" fontId="13" fillId="0" borderId="0" xfId="0" applyFont="1" applyFill="1" applyProtection="1"/>
    <xf numFmtId="0" fontId="14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Fill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0" fontId="12" fillId="0" borderId="0" xfId="0" applyFont="1" applyProtection="1"/>
    <xf numFmtId="0" fontId="11" fillId="0" borderId="0" xfId="0" applyFont="1" applyProtection="1"/>
    <xf numFmtId="0" fontId="4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5" fillId="3" borderId="0" xfId="0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7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left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14" fontId="15" fillId="3" borderId="0" xfId="0" applyNumberFormat="1" applyFont="1" applyFill="1" applyBorder="1" applyAlignment="1" applyProtection="1">
      <alignment horizontal="center"/>
      <protection locked="0"/>
    </xf>
    <xf numFmtId="14" fontId="15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5" fillId="3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3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Border="1" applyAlignment="1" applyProtection="1">
      <alignment horizontal="center"/>
    </xf>
    <xf numFmtId="4" fontId="15" fillId="3" borderId="0" xfId="0" applyNumberFormat="1" applyFont="1" applyFill="1" applyBorder="1" applyProtection="1">
      <protection locked="0"/>
    </xf>
    <xf numFmtId="4" fontId="15" fillId="3" borderId="0" xfId="0" applyNumberFormat="1" applyFont="1" applyFill="1" applyBorder="1" applyProtection="1"/>
    <xf numFmtId="4" fontId="15" fillId="0" borderId="0" xfId="0" applyNumberFormat="1" applyFont="1" applyBorder="1" applyProtection="1"/>
    <xf numFmtId="4" fontId="15" fillId="0" borderId="0" xfId="0" applyNumberFormat="1" applyFont="1" applyBorder="1" applyProtection="1"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7" fillId="2" borderId="5" xfId="0" applyFont="1" applyFill="1" applyBorder="1" applyAlignment="1" applyProtection="1">
      <alignment horizontal="center" vertical="center"/>
    </xf>
    <xf numFmtId="10" fontId="11" fillId="0" borderId="0" xfId="0" applyNumberFormat="1" applyFont="1" applyProtection="1"/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0" fillId="0" borderId="0" xfId="0" pivotButton="1"/>
    <xf numFmtId="0" fontId="0" fillId="0" borderId="0" xfId="0" applyAlignment="1">
      <alignment horizontal="left"/>
    </xf>
    <xf numFmtId="4" fontId="15" fillId="0" borderId="0" xfId="0" applyNumberFormat="1" applyFont="1" applyProtection="1">
      <protection locked="0"/>
    </xf>
    <xf numFmtId="0" fontId="0" fillId="0" borderId="0" xfId="0" applyAlignment="1">
      <alignment textRotation="90"/>
    </xf>
    <xf numFmtId="0" fontId="19" fillId="0" borderId="0" xfId="0" applyFont="1" applyAlignment="1">
      <alignment horizontal="left"/>
    </xf>
    <xf numFmtId="4" fontId="15" fillId="3" borderId="4" xfId="0" applyNumberFormat="1" applyFont="1" applyFill="1" applyBorder="1" applyProtection="1"/>
    <xf numFmtId="4" fontId="15" fillId="0" borderId="4" xfId="0" applyNumberFormat="1" applyFont="1" applyBorder="1" applyProtection="1"/>
    <xf numFmtId="0" fontId="15" fillId="4" borderId="1" xfId="0" applyFont="1" applyFill="1" applyBorder="1" applyAlignment="1" applyProtection="1">
      <alignment horizontal="left" vertical="top"/>
    </xf>
    <xf numFmtId="0" fontId="15" fillId="4" borderId="2" xfId="0" applyFont="1" applyFill="1" applyBorder="1" applyAlignment="1" applyProtection="1">
      <alignment horizontal="left" vertical="top"/>
    </xf>
    <xf numFmtId="0" fontId="15" fillId="4" borderId="2" xfId="0" applyFont="1" applyFill="1" applyBorder="1" applyAlignment="1" applyProtection="1">
      <alignment horizontal="left" vertical="top" wrapText="1"/>
    </xf>
    <xf numFmtId="0" fontId="15" fillId="4" borderId="3" xfId="0" applyFont="1" applyFill="1" applyBorder="1" applyAlignment="1" applyProtection="1">
      <alignment horizontal="left" vertical="top"/>
    </xf>
    <xf numFmtId="0" fontId="15" fillId="4" borderId="6" xfId="0" applyFont="1" applyFill="1" applyBorder="1" applyAlignment="1" applyProtection="1">
      <alignment horizontal="left" vertical="top"/>
    </xf>
    <xf numFmtId="43" fontId="0" fillId="0" borderId="0" xfId="0" applyNumberFormat="1"/>
    <xf numFmtId="43" fontId="0" fillId="0" borderId="0" xfId="1" applyFont="1"/>
    <xf numFmtId="4" fontId="4" fillId="0" borderId="0" xfId="0" applyNumberFormat="1" applyFont="1" applyProtection="1"/>
    <xf numFmtId="4" fontId="15" fillId="0" borderId="6" xfId="0" applyNumberFormat="1" applyFont="1" applyBorder="1" applyProtection="1"/>
    <xf numFmtId="4" fontId="15" fillId="0" borderId="7" xfId="0" applyNumberFormat="1" applyFont="1" applyBorder="1" applyProtection="1"/>
    <xf numFmtId="4" fontId="21" fillId="0" borderId="0" xfId="0" applyNumberFormat="1" applyFont="1" applyBorder="1"/>
    <xf numFmtId="4" fontId="21" fillId="5" borderId="0" xfId="0" applyNumberFormat="1" applyFont="1" applyFill="1" applyBorder="1"/>
    <xf numFmtId="43" fontId="19" fillId="5" borderId="0" xfId="1" applyFont="1" applyFill="1" applyAlignment="1">
      <alignment horizontal="left"/>
    </xf>
    <xf numFmtId="43" fontId="19" fillId="6" borderId="0" xfId="0" applyNumberFormat="1" applyFont="1" applyFill="1"/>
    <xf numFmtId="43" fontId="19" fillId="6" borderId="0" xfId="1" applyFont="1" applyFill="1"/>
    <xf numFmtId="0" fontId="22" fillId="0" borderId="0" xfId="0" applyFont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/>
    <xf numFmtId="0" fontId="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6" fillId="0" borderId="0" xfId="0" applyFont="1" applyBorder="1" applyAlignment="1" applyProtection="1"/>
    <xf numFmtId="0" fontId="7" fillId="2" borderId="1" xfId="0" applyFont="1" applyFill="1" applyBorder="1" applyAlignment="1" applyProtection="1">
      <alignment horizontal="left" vertical="center"/>
    </xf>
    <xf numFmtId="0" fontId="0" fillId="0" borderId="3" xfId="0" applyBorder="1" applyAlignment="1"/>
    <xf numFmtId="0" fontId="5" fillId="0" borderId="0" xfId="0" applyFont="1" applyAlignment="1" applyProtection="1"/>
    <xf numFmtId="0" fontId="17" fillId="0" borderId="0" xfId="0" applyFont="1" applyAlignment="1" applyProtection="1"/>
    <xf numFmtId="0" fontId="0" fillId="0" borderId="0" xfId="0" applyAlignment="1"/>
  </cellXfs>
  <cellStyles count="2">
    <cellStyle name="Komma" xfId="1" builtinId="3"/>
    <cellStyle name="Standard" xfId="0" builtinId="0"/>
  </cellStyles>
  <dxfs count="74">
    <dxf>
      <alignment textRotation="90"/>
    </dxf>
    <dxf>
      <alignment textRotation="90"/>
    </dxf>
    <dxf>
      <numFmt numFmtId="35" formatCode="_ * #,##0.00_ ;_ * \-#,##0.00_ ;_ * &quot;-&quot;??_ ;_ @_ "/>
    </dxf>
    <dxf>
      <alignment textRotation="90"/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numFmt numFmtId="14" formatCode="0.00%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 Semilight"/>
        <scheme val="none"/>
      </font>
      <numFmt numFmtId="14" formatCode="0.00%"/>
      <fill>
        <patternFill patternType="solid">
          <fgColor indexed="64"/>
          <bgColor theme="0" tint="-0.1499679555650502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alignment textRotation="90"/>
    </dxf>
    <dxf>
      <numFmt numFmtId="35" formatCode="_ * #,##0.00_ ;_ * \-#,##0.00_ ;_ * &quot;-&quot;??_ ;_ @_ "/>
    </dxf>
    <dxf>
      <alignment textRotation="90"/>
    </dxf>
    <dxf>
      <alignment textRotation="9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border diagonalUp="0" diagonalDown="0">
        <left/>
        <right style="thin">
          <color indexed="64"/>
        </right>
        <vertical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alignment horizont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2" formatCode="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19" formatCode="dd/mm/yyyy"/>
      <alignment horizont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0" formatCode="General"/>
      <alignment horizontal="center" textRotation="0" wrapText="0" indent="0" justifyLastLine="0" shrinkToFit="0" readingOrder="0"/>
      <protection locked="1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fill>
        <patternFill patternType="solid">
          <fgColor indexed="64"/>
          <bgColor rgb="FFF2F2F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</dxfs>
  <tableStyles count="0" defaultTableStyle="TableStyleMedium2" defaultPivotStyle="PivotStyleMedium9"/>
  <colors>
    <mruColors>
      <color rgb="FFFFFF99"/>
      <color rgb="FFE2EFDA"/>
      <color rgb="FFF2F2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</xdr:row>
          <xdr:rowOff>76200</xdr:rowOff>
        </xdr:from>
        <xdr:to>
          <xdr:col>8</xdr:col>
          <xdr:colOff>0</xdr:colOff>
          <xdr:row>2</xdr:row>
          <xdr:rowOff>9525</xdr:rowOff>
        </xdr:to>
        <xdr:sp macro="" textlink="">
          <xdr:nvSpPr>
            <xdr:cNvPr id="1030" name="Button8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3</xdr:row>
          <xdr:rowOff>76200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4097" name="Button8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2</xdr:row>
          <xdr:rowOff>76200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4098" name="Button8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3</xdr:col>
      <xdr:colOff>561993</xdr:colOff>
      <xdr:row>1</xdr:row>
      <xdr:rowOff>133353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0"/>
          <a:ext cx="2438418" cy="457203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3487.757586111111" backgroundQuery="1" createdVersion="6" refreshedVersion="6" minRefreshableVersion="3" recordCount="0" supportSubquery="1" supportAdvancedDrill="1" xr:uid="{00000000-000A-0000-FFFF-FFFF01000000}">
  <cacheSource type="external" connectionId="1"/>
  <cacheFields count="9">
    <cacheField name="[Measures].[Summe von VSM]" caption="Summe von VSM" numFmtId="0" hierarchy="24" level="32767"/>
    <cacheField name="[Measures].[Summe von VSB]" caption="Summe von VSB" numFmtId="0" hierarchy="25" level="32767"/>
    <cacheField name="[Erfassung].[Konto].[Konto]" caption="Konto" numFmtId="0" hierarchy="7" level="1">
      <sharedItems containsBlank="1" count="5">
        <m/>
        <s v="4400 - Drittleistungen"/>
        <s v="5800 - Übriger Personalaufwand"/>
        <s v="6500 - Büromat./Drucksachen"/>
        <s v="6640 - Repräsentation/Akquisition"/>
      </sharedItems>
    </cacheField>
    <cacheField name="[Measures].[Summe von Betrag ohne]" caption="Summe von Betrag ohne" numFmtId="0" hierarchy="26" level="32767"/>
    <cacheField name="[Measures].[Summe von Betrag VSM 7,7]" caption="Summe von Betrag VSM 7,7" numFmtId="0" hierarchy="27" level="32767"/>
    <cacheField name="[Measures].[Summe von Betrag VSM 2,5]" caption="Summe von Betrag VSM 2,5" numFmtId="0" hierarchy="28" level="32767"/>
    <cacheField name="[Measures].[Summe von Betrag VSB 7,7]" caption="Summe von Betrag VSB 7,7" numFmtId="0" hierarchy="29" level="32767"/>
    <cacheField name="[Measures].[Summe von Betrag VSB 2,5]" caption="Summe von Betrag VSB 2,5" numFmtId="0" hierarchy="30" level="32767"/>
    <cacheField name="[Measures].[Summe von Betrag VSB 3,7]" caption="Summe von Betrag VSB 3,7" numFmtId="0" hierarchy="31" level="32767"/>
  </cacheFields>
  <cacheHierarchies count="32">
    <cacheHierarchy uniqueName="[Erfassung].[#]" caption="#" attribute="1" defaultMemberUniqueName="[Erfassung].[#].[All]" allUniqueName="[Erfassung].[#].[All]" dimensionUniqueName="[Erfassung]" displayFolder="" count="0" memberValueDatatype="20" unbalanced="0"/>
    <cacheHierarchy uniqueName="[Erfassung].[Datum]" caption="Datum" attribute="1" time="1" defaultMemberUniqueName="[Erfassung].[Datum].[All]" allUniqueName="[Erfassung].[Datum].[All]" dimensionUniqueName="[Erfassung]" displayFolder="" count="0" memberValueDatatype="7" unbalanced="0"/>
    <cacheHierarchy uniqueName="[Erfassung].[Firma]" caption="Firma" attribute="1" defaultMemberUniqueName="[Erfassung].[Firma].[All]" allUniqueName="[Erfassung].[Firma].[All]" dimensionUniqueName="[Erfassung]" displayFolder="" count="0" memberValueDatatype="130" unbalanced="0"/>
    <cacheHierarchy uniqueName="[Erfassung].[Beschreibung]" caption="Beschreibung" attribute="1" defaultMemberUniqueName="[Erfassung].[Beschreibung].[All]" allUniqueName="[Erfassung].[Beschreibung].[All]" dimensionUniqueName="[Erfassung]" displayFolder="" count="0" memberValueDatatype="130" unbalanced="0"/>
    <cacheHierarchy uniqueName="[Erfassung].[Betrag]" caption="Betrag" attribute="1" defaultMemberUniqueName="[Erfassung].[Betrag].[All]" allUniqueName="[Erfassung].[Betrag].[All]" dimensionUniqueName="[Erfassung]" displayFolder="" count="0" memberValueDatatype="5" unbalanced="0"/>
    <cacheHierarchy uniqueName="[Erfassung].[Währ-ung]" caption="Währ-ung" attribute="1" defaultMemberUniqueName="[Erfassung].[Währ-ung].[All]" allUniqueName="[Erfassung].[Währ-ung].[All]" dimensionUniqueName="[Erfassung]" displayFolder="" count="0" memberValueDatatype="130" unbalanced="0"/>
    <cacheHierarchy uniqueName="[Erfassung].[Kurs]" caption="Kurs" attribute="1" defaultMemberUniqueName="[Erfassung].[Kurs].[All]" allUniqueName="[Erfassung].[Kurs].[All]" dimensionUniqueName="[Erfassung]" displayFolder="" count="0" memberValueDatatype="5" unbalanced="0"/>
    <cacheHierarchy uniqueName="[Erfassung].[Konto]" caption="Konto" attribute="1" defaultMemberUniqueName="[Erfassung].[Konto].[All]" allUniqueName="[Erfassung].[Konto].[All]" dimensionUniqueName="[Erfassung]" displayFolder="" count="2" memberValueDatatype="130" unbalanced="0">
      <fieldsUsage count="2">
        <fieldUsage x="-1"/>
        <fieldUsage x="2"/>
      </fieldsUsage>
    </cacheHierarchy>
    <cacheHierarchy uniqueName="[Erfassung].[MWST-Code]" caption="MWST-Code" attribute="1" defaultMemberUniqueName="[Erfassung].[MWST-Code].[All]" allUniqueName="[Erfassung].[MWST-Code].[All]" dimensionUniqueName="[Erfassung]" displayFolder="" count="0" memberValueDatatype="130" unbalanced="0"/>
    <cacheHierarchy uniqueName="[Erfassung].[Betrag CHF]" caption="Betrag CHF" attribute="1" defaultMemberUniqueName="[Erfassung].[Betrag CHF].[All]" allUniqueName="[Erfassung].[Betrag CHF].[All]" dimensionUniqueName="[Erfassung]" displayFolder="" count="0" memberValueDatatype="5" unbalanced="0"/>
    <cacheHierarchy uniqueName="[Erfassung].[Steuer-Betrag CHF]" caption="Steuer-Betrag CHF" attribute="1" defaultMemberUniqueName="[Erfassung].[Steuer-Betrag CHF].[All]" allUniqueName="[Erfassung].[Steuer-Betrag CHF].[All]" dimensionUniqueName="[Erfassung]" displayFolder="" count="0" memberValueDatatype="5" unbalanced="0"/>
    <cacheHierarchy uniqueName="[Erfassung].[Netto-Betrag CHF]" caption="Netto-Betrag CHF" attribute="1" defaultMemberUniqueName="[Erfassung].[Netto-Betrag CHF].[All]" allUniqueName="[Erfassung].[Netto-Betrag CHF].[All]" dimensionUniqueName="[Erfassung]" displayFolder="" count="0" memberValueDatatype="5" unbalanced="0"/>
    <cacheHierarchy uniqueName="[Erfassung].[VSM]" caption="VSM" attribute="1" defaultMemberUniqueName="[Erfassung].[VSM].[All]" allUniqueName="[Erfassung].[VSM].[All]" dimensionUniqueName="[Erfassung]" displayFolder="" count="0" memberValueDatatype="5" unbalanced="0"/>
    <cacheHierarchy uniqueName="[Erfassung].[VSB]" caption="VSB" attribute="1" defaultMemberUniqueName="[Erfassung].[VSB].[All]" allUniqueName="[Erfassung].[VSB].[All]" dimensionUniqueName="[Erfassung]" displayFolder="" count="0" memberValueDatatype="5" unbalanced="0"/>
    <cacheHierarchy uniqueName="[Erfassung].[Steuersatz]" caption="Steuersatz" attribute="1" defaultMemberUniqueName="[Erfassung].[Steuersatz].[All]" allUniqueName="[Erfassung].[Steuersatz].[All]" dimensionUniqueName="[Erfassung]" displayFolder="" count="0" memberValueDatatype="5" unbalanced="0"/>
    <cacheHierarchy uniqueName="[Erfassung].[Steuresatz2]" caption="Steuresatz2" attribute="1" defaultMemberUniqueName="[Erfassung].[Steuresatz2].[All]" allUniqueName="[Erfassung].[Steuresatz2].[All]" dimensionUniqueName="[Erfassung]" displayFolder="" count="0" memberValueDatatype="5" unbalanced="0"/>
    <cacheHierarchy uniqueName="[Erfassung].[Betrag ohne]" caption="Betrag ohne" attribute="1" defaultMemberUniqueName="[Erfassung].[Betrag ohne].[All]" allUniqueName="[Erfassung].[Betrag ohne].[All]" dimensionUniqueName="[Erfassung]" displayFolder="" count="0" memberValueDatatype="5" unbalanced="0"/>
    <cacheHierarchy uniqueName="[Erfassung].[Betrag VSM 7,7]" caption="Betrag VSM 7,7" attribute="1" defaultMemberUniqueName="[Erfassung].[Betrag VSM 7,7].[All]" allUniqueName="[Erfassung].[Betrag VSM 7,7].[All]" dimensionUniqueName="[Erfassung]" displayFolder="" count="0" memberValueDatatype="20" unbalanced="0"/>
    <cacheHierarchy uniqueName="[Erfassung].[Betrag VSM 2,5]" caption="Betrag VSM 2,5" attribute="1" defaultMemberUniqueName="[Erfassung].[Betrag VSM 2,5].[All]" allUniqueName="[Erfassung].[Betrag VSM 2,5].[All]" dimensionUniqueName="[Erfassung]" displayFolder="" count="0" memberValueDatatype="20" unbalanced="0"/>
    <cacheHierarchy uniqueName="[Erfassung].[Betrag VSB 7,7]" caption="Betrag VSB 7,7" attribute="1" defaultMemberUniqueName="[Erfassung].[Betrag VSB 7,7].[All]" allUniqueName="[Erfassung].[Betrag VSB 7,7].[All]" dimensionUniqueName="[Erfassung]" displayFolder="" count="0" memberValueDatatype="5" unbalanced="0"/>
    <cacheHierarchy uniqueName="[Erfassung].[Betrag VSB 2,5]" caption="Betrag VSB 2,5" attribute="1" defaultMemberUniqueName="[Erfassung].[Betrag VSB 2,5].[All]" allUniqueName="[Erfassung].[Betrag VSB 2,5].[All]" dimensionUniqueName="[Erfassung]" displayFolder="" count="0" memberValueDatatype="5" unbalanced="0"/>
    <cacheHierarchy uniqueName="[Erfassung].[Betrag VSB 3,7]" caption="Betrag VSB 3,7" attribute="1" defaultMemberUniqueName="[Erfassung].[Betrag VSB 3,7].[All]" allUniqueName="[Erfassung].[Betrag VSB 3,7].[All]" dimensionUniqueName="[Erfassung]" displayFolder="" count="0" memberValueDatatype="20" unbalanced="0"/>
    <cacheHierarchy uniqueName="[Measures].[__XL_Count Erfassung]" caption="__XL_Count Erfassung" measure="1" displayFolder="" measureGroup="Erfassung" count="0" hidden="1"/>
    <cacheHierarchy uniqueName="[Measures].[__No measures defined]" caption="__No measures defined" measure="1" displayFolder="" count="0" hidden="1"/>
    <cacheHierarchy uniqueName="[Measures].[Summe von VSM]" caption="Summe von VSM" measure="1" displayFolder="" measureGroup="Erfassung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e von VSB]" caption="Summe von VSB" measure="1" displayFolder="" measureGroup="Erfassung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me von Betrag ohne]" caption="Summe von Betrag ohne" measure="1" displayFolder="" measureGroup="Erfassung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me von Betrag VSM 7,7]" caption="Summe von Betrag VSM 7,7" measure="1" displayFolder="" measureGroup="Erfassung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me von Betrag VSM 2,5]" caption="Summe von Betrag VSM 2,5" measure="1" displayFolder="" measureGroup="Erfassung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e von Betrag VSB 7,7]" caption="Summe von Betrag VSB 7,7" measure="1" displayFolder="" measureGroup="Erfassung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e von Betrag VSB 2,5]" caption="Summe von Betrag VSB 2,5" measure="1" displayFolder="" measureGroup="Erfassung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e von Betrag VSB 3,7]" caption="Summe von Betrag VSB 3,7" measure="1" displayFolder="" measureGroup="Erfassung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</cacheHierarchies>
  <kpis count="0"/>
  <dimensions count="2">
    <dimension name="Erfassung" uniqueName="[Erfassung]" caption="Erfassung"/>
    <dimension measure="1" name="Measures" uniqueName="[Measures]" caption="Measures"/>
  </dimensions>
  <measureGroups count="1">
    <measureGroup name="Erfassung" caption="Erfassung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1" applyNumberFormats="0" applyBorderFormats="0" applyFontFormats="0" applyPatternFormats="0" applyAlignmentFormats="0" applyWidthHeightFormats="1" dataCaption="Werte" updatedVersion="6" minRefreshableVersion="3" useAutoFormatting="1" subtotalHiddenItems="1" itemPrintTitles="1" createdVersion="6" indent="0" outline="1" outlineData="1" multipleFieldFilters="0" rowHeaderCaption="Konto">
  <location ref="A11:I17" firstHeaderRow="0" firstDataRow="1" firstDataCol="1"/>
  <pivotFields count="9">
    <pivotField dataField="1" subtotalTop="0" showAll="0" defaultSubtotal="0"/>
    <pivotField dataField="1" subtotalTop="0" showAll="0" defaultSubtotal="0"/>
    <pivotField axis="axisRow" allDrilled="1" showAll="0" sortType="ascending" dataSourceSort="1" defaultAttributeDrillState="1">
      <items count="6">
        <item x="1"/>
        <item x="2"/>
        <item x="3"/>
        <item x="4"/>
        <item x="0"/>
        <item t="default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ohne MWST" fld="3" baseField="0" baseItem="0"/>
    <dataField name="VSM 7,7" fld="4" baseField="0" baseItem="0"/>
    <dataField name="VSM 2,5" fld="5" baseField="0" baseItem="0"/>
    <dataField name="VSB 7,7" fld="6" baseField="0" baseItem="0"/>
    <dataField name="VSB 2,5" fld="7" baseField="0" baseItem="0"/>
    <dataField name="VSB 3,7" fld="8" baseField="0" baseItem="0"/>
    <dataField name="VSM" fld="0" baseField="0" baseItem="0"/>
    <dataField name="VSB" fld="1" baseField="0" baseItem="0"/>
  </dataFields>
  <formats count="4">
    <format dxfId="47">
      <pivotArea dataOnly="0" labelOnly="1" outline="0" fieldPosition="0">
        <references count="1">
          <reference field="4294967294" count="2">
            <x v="6"/>
            <x v="7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">
      <pivotArea outline="0" collapsedLevelsAreSubtotals="1" fieldPosition="0"/>
    </format>
    <format dxfId="44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</formats>
  <pivotHierarchies count="3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VSM"/>
    <pivotHierarchy dragToData="1" caption="VSB"/>
    <pivotHierarchy dragToData="1" caption="ohne MWST"/>
    <pivotHierarchy dragToData="1" caption="VSM 7,7"/>
    <pivotHierarchy dragToData="1" caption="VSM 2,5"/>
    <pivotHierarchy dragToData="1" caption="VSB 7,7"/>
    <pivotHierarchy dragToData="1" caption="VSB 2,5"/>
    <pivotHierarchy dragToData="1" caption="VSB 3,7"/>
  </pivotHierarchies>
  <pivotTableStyleInfo name="PivotStyleMedium9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pesenformular 2018.xlsx!Erfassung">
        <x15:activeTabTopLevelEntity name="[Erfassung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rfassung" displayName="Erfassung" ref="A8:V78" totalsRowShown="0" headerRowDxfId="73" dataDxfId="71" headerRowBorderDxfId="72" tableBorderDxfId="70">
  <autoFilter ref="A8:V78" xr:uid="{00000000-0009-0000-0100-000001000000}"/>
  <tableColumns count="22">
    <tableColumn id="1" xr3:uid="{00000000-0010-0000-0000-000001000000}" name="#" dataDxfId="69">
      <calculatedColumnFormula xml:space="preserve"> ROW()-8</calculatedColumnFormula>
    </tableColumn>
    <tableColumn id="2" xr3:uid="{00000000-0010-0000-0000-000002000000}" name="Datum" dataDxfId="68"/>
    <tableColumn id="3" xr3:uid="{00000000-0010-0000-0000-000003000000}" name="Firma" dataDxfId="67"/>
    <tableColumn id="4" xr3:uid="{00000000-0010-0000-0000-000004000000}" name="Beschreibung" dataDxfId="66"/>
    <tableColumn id="5" xr3:uid="{00000000-0010-0000-0000-000005000000}" name="Betrag" dataDxfId="65"/>
    <tableColumn id="6" xr3:uid="{00000000-0010-0000-0000-000006000000}" name="Währ-ung" dataDxfId="64"/>
    <tableColumn id="7" xr3:uid="{00000000-0010-0000-0000-000007000000}" name="Kurs" dataDxfId="63"/>
    <tableColumn id="9" xr3:uid="{00000000-0010-0000-0000-000009000000}" name="Konto" dataDxfId="62"/>
    <tableColumn id="10" xr3:uid="{00000000-0010-0000-0000-00000A000000}" name="MWST-Code" dataDxfId="61"/>
    <tableColumn id="8" xr3:uid="{00000000-0010-0000-0000-000008000000}" name="Betrag CHF" dataDxfId="60">
      <calculatedColumnFormula>IF(F9="",IF(Rundung,ROUND(E9/5,2)*5,E9),IF(Rundung, ROUND(E9*G9/5,2)*5,E9*G9))</calculatedColumnFormula>
    </tableColumn>
    <tableColumn id="11" xr3:uid="{00000000-0010-0000-0000-00000B000000}" name="Steuer-Betrag CHF" dataDxfId="59">
      <calculatedColumnFormula>IF(J9&lt;&gt;0,IF(Rundung,ROUND(J9*P9/5,2)*5,J9*P9),0)</calculatedColumnFormula>
    </tableColumn>
    <tableColumn id="12" xr3:uid="{00000000-0010-0000-0000-00000C000000}" name="Netto-Betrag CHF" dataDxfId="58">
      <calculatedColumnFormula>J9-K9</calculatedColumnFormula>
    </tableColumn>
    <tableColumn id="13" xr3:uid="{00000000-0010-0000-0000-00000D000000}" name="VSM" dataDxfId="57">
      <calculatedColumnFormula>IF(LEFT(Erfassung[[#This Row],[MWST-Code]],3)="VSM",Erfassung[[#This Row],[Steuer-Betrag CHF]],0)</calculatedColumnFormula>
    </tableColumn>
    <tableColumn id="14" xr3:uid="{00000000-0010-0000-0000-00000E000000}" name="VSB" dataDxfId="56">
      <calculatedColumnFormula>IF(LEFT(Erfassung[[#This Row],[MWST-Code]],3)="VSB",Erfassung[[#This Row],[Steuer-Betrag CHF]],0)</calculatedColumnFormula>
    </tableColumn>
    <tableColumn id="15" xr3:uid="{00000000-0010-0000-0000-00000F000000}" name="Steuersatz" dataDxfId="55"/>
    <tableColumn id="16" xr3:uid="{00000000-0010-0000-0000-000010000000}" name="Steuresatz2" dataDxfId="54"/>
    <tableColumn id="17" xr3:uid="{00000000-0010-0000-0000-000011000000}" name="Betrag ohne" dataDxfId="53">
      <calculatedColumnFormula>IF($I9=Konfiguration!$B$37,Erfassung[[#This Row],[Betrag CHF]],IF($I9="",Erfassung[[#This Row],[Betrag CHF]],0))</calculatedColumnFormula>
    </tableColumn>
    <tableColumn id="18" xr3:uid="{00000000-0010-0000-0000-000012000000}" name="Betrag VSM 7,7" dataDxfId="52">
      <calculatedColumnFormula>IF($I9=Konfiguration!$B$38,Erfassung[[#This Row],[Betrag CHF]],0)</calculatedColumnFormula>
    </tableColumn>
    <tableColumn id="19" xr3:uid="{00000000-0010-0000-0000-000013000000}" name="Betrag VSM 2,5" dataDxfId="51">
      <calculatedColumnFormula>IF($I9=Konfiguration!$B$39,Erfassung[[#This Row],[Betrag CHF]],0)</calculatedColumnFormula>
    </tableColumn>
    <tableColumn id="20" xr3:uid="{00000000-0010-0000-0000-000014000000}" name="Betrag VSB 7,7" dataDxfId="50">
      <calculatedColumnFormula>IF($I9=Konfiguration!$B$40,Erfassung[[#This Row],[Betrag CHF]],0)</calculatedColumnFormula>
    </tableColumn>
    <tableColumn id="21" xr3:uid="{00000000-0010-0000-0000-000015000000}" name="Betrag VSB 2,5" dataDxfId="49">
      <calculatedColumnFormula>IF($I9=Konfiguration!$B$41,Erfassung[[#This Row],[Betrag CHF]],0)</calculatedColumnFormula>
    </tableColumn>
    <tableColumn id="22" xr3:uid="{00000000-0010-0000-0000-000016000000}" name="Betrag VSB 3,7" dataDxfId="48">
      <calculatedColumnFormula>IF($I9=Konfiguration!$B$42,Erfassung[[#This Row],[Betrag CHF]],0)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B4:B33" totalsRowShown="0" headerRowDxfId="43" dataDxfId="42">
  <autoFilter ref="B4:B33" xr:uid="{00000000-0009-0000-0100-000002000000}"/>
  <sortState ref="B6:B21">
    <sortCondition ref="B5"/>
  </sortState>
  <tableColumns count="1">
    <tableColumn id="1" xr3:uid="{00000000-0010-0000-0100-000001000000}" name="Konto Code" dataDxfId="41" dataCellStyle="Standar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3" displayName="Tabelle3" ref="B36:C42" totalsRowShown="0" headerRowDxfId="40" dataDxfId="39">
  <autoFilter ref="B36:C42" xr:uid="{00000000-0009-0000-0100-000003000000}"/>
  <tableColumns count="2">
    <tableColumn id="1" xr3:uid="{00000000-0010-0000-0200-000001000000}" name="MWST-Code" dataDxfId="38"/>
    <tableColumn id="2" xr3:uid="{00000000-0010-0000-0200-000002000000}" name="Steuersatz" dataDxfId="3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le4" displayName="Tabelle4" ref="B45:B47" totalsRowShown="0" headerRowDxfId="36" dataDxfId="35">
  <autoFilter ref="B45:B47" xr:uid="{00000000-0009-0000-0100-000004000000}"/>
  <tableColumns count="1">
    <tableColumn id="1" xr3:uid="{00000000-0010-0000-0300-000001000000}" name="Rundungsmodi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Y120"/>
  <sheetViews>
    <sheetView tabSelected="1" zoomScaleNormal="100" workbookViewId="0">
      <selection activeCell="K82" sqref="K82"/>
    </sheetView>
  </sheetViews>
  <sheetFormatPr baseColWidth="10" defaultColWidth="8.85546875" defaultRowHeight="16.5" x14ac:dyDescent="0.3"/>
  <cols>
    <col min="1" max="1" width="3.28515625" style="4" customWidth="1"/>
    <col min="2" max="2" width="8.7109375" style="32" bestFit="1" customWidth="1"/>
    <col min="3" max="3" width="13.5703125" style="4" customWidth="1"/>
    <col min="4" max="4" width="18.85546875" style="4" customWidth="1"/>
    <col min="5" max="5" width="7.7109375" style="4" bestFit="1" customWidth="1"/>
    <col min="6" max="6" width="6.7109375" style="32" customWidth="1"/>
    <col min="7" max="7" width="5.85546875" style="32" customWidth="1"/>
    <col min="8" max="8" width="25.28515625" style="4" bestFit="1" customWidth="1"/>
    <col min="9" max="9" width="9.140625" style="32" bestFit="1" customWidth="1"/>
    <col min="10" max="10" width="7.7109375" style="4" customWidth="1"/>
    <col min="11" max="11" width="7" style="4" bestFit="1" customWidth="1"/>
    <col min="12" max="12" width="7.7109375" style="4" customWidth="1"/>
    <col min="13" max="14" width="5.85546875" style="4" customWidth="1"/>
    <col min="15" max="15" width="12.7109375" style="4" hidden="1" customWidth="1"/>
    <col min="16" max="16" width="26.7109375" style="4" hidden="1" customWidth="1"/>
    <col min="17" max="17" width="13.140625" style="6" hidden="1" customWidth="1"/>
    <col min="18" max="18" width="16.85546875" style="6" hidden="1" customWidth="1"/>
    <col min="19" max="19" width="20.85546875" style="6" hidden="1" customWidth="1"/>
    <col min="20" max="20" width="18.5703125" style="6" hidden="1" customWidth="1"/>
    <col min="21" max="21" width="20.28515625" style="6" hidden="1" customWidth="1"/>
    <col min="22" max="22" width="17.85546875" style="6" hidden="1" customWidth="1"/>
    <col min="23" max="25" width="8.85546875" style="6"/>
    <col min="26" max="16384" width="8.85546875" style="4"/>
  </cols>
  <sheetData>
    <row r="1" spans="1:25" s="6" customFormat="1" ht="25.5" x14ac:dyDescent="0.5">
      <c r="A1" s="77" t="s">
        <v>27</v>
      </c>
      <c r="B1" s="78"/>
      <c r="C1" s="78"/>
      <c r="D1" s="78"/>
      <c r="F1" s="18"/>
      <c r="G1" s="18"/>
      <c r="I1" s="18"/>
      <c r="O1" s="6" t="s">
        <v>36</v>
      </c>
    </row>
    <row r="2" spans="1:25" s="23" customFormat="1" ht="14.25" x14ac:dyDescent="0.25">
      <c r="A2" s="22"/>
      <c r="B2" s="28"/>
      <c r="C2" s="22"/>
      <c r="D2" s="22"/>
      <c r="E2" s="82" t="s">
        <v>28</v>
      </c>
      <c r="F2" s="83"/>
      <c r="G2" s="84"/>
      <c r="H2" s="79" t="s">
        <v>40</v>
      </c>
      <c r="I2" s="80"/>
      <c r="J2" s="81"/>
      <c r="L2" s="19" t="s">
        <v>31</v>
      </c>
      <c r="M2" s="75">
        <v>2019</v>
      </c>
      <c r="N2" s="76"/>
      <c r="Q2" s="22"/>
      <c r="R2" s="22"/>
      <c r="S2" s="22"/>
      <c r="T2" s="22"/>
      <c r="U2" s="22"/>
      <c r="V2" s="22"/>
      <c r="W2" s="22"/>
      <c r="X2" s="22"/>
      <c r="Y2" s="22"/>
    </row>
    <row r="3" spans="1:25" s="6" customFormat="1" ht="10.15" customHeight="1" x14ac:dyDescent="0.5">
      <c r="B3" s="29"/>
      <c r="F3" s="17"/>
      <c r="G3" s="36"/>
      <c r="H3" s="8"/>
      <c r="I3" s="33"/>
      <c r="J3" s="9"/>
      <c r="L3" s="20"/>
      <c r="M3" s="9"/>
    </row>
    <row r="4" spans="1:25" s="23" customFormat="1" ht="14.25" x14ac:dyDescent="0.25">
      <c r="A4" s="22"/>
      <c r="B4" s="28"/>
      <c r="C4" s="22"/>
      <c r="D4" s="22"/>
      <c r="E4" s="82" t="s">
        <v>29</v>
      </c>
      <c r="F4" s="83"/>
      <c r="G4" s="84"/>
      <c r="H4" s="79" t="s">
        <v>41</v>
      </c>
      <c r="I4" s="80"/>
      <c r="J4" s="81"/>
      <c r="L4" s="19" t="s">
        <v>5</v>
      </c>
      <c r="M4" s="75">
        <v>2260</v>
      </c>
      <c r="N4" s="76"/>
      <c r="O4" s="23" t="s">
        <v>7</v>
      </c>
      <c r="P4" s="23">
        <f>IF(M6=Konfiguration!$B$47,1,0)</f>
        <v>0</v>
      </c>
      <c r="Q4" s="22"/>
      <c r="R4" s="24"/>
      <c r="S4" s="22"/>
      <c r="T4" s="22"/>
      <c r="U4" s="22"/>
      <c r="V4" s="22"/>
      <c r="W4" s="22"/>
      <c r="X4" s="22"/>
      <c r="Y4" s="22"/>
    </row>
    <row r="5" spans="1:25" s="6" customFormat="1" ht="9.6" customHeight="1" x14ac:dyDescent="0.3">
      <c r="B5" s="18"/>
      <c r="F5" s="17"/>
      <c r="G5" s="33"/>
      <c r="H5" s="10"/>
      <c r="I5" s="33"/>
      <c r="J5" s="10"/>
      <c r="L5" s="21"/>
      <c r="M5" s="10"/>
    </row>
    <row r="6" spans="1:25" s="23" customFormat="1" ht="14.25" x14ac:dyDescent="0.25">
      <c r="A6" s="22"/>
      <c r="B6" s="28"/>
      <c r="C6" s="22"/>
      <c r="D6" s="22"/>
      <c r="E6" s="82" t="s">
        <v>30</v>
      </c>
      <c r="F6" s="83"/>
      <c r="G6" s="84"/>
      <c r="H6" s="79" t="s">
        <v>69</v>
      </c>
      <c r="I6" s="80"/>
      <c r="J6" s="81"/>
      <c r="L6" s="25" t="s">
        <v>32</v>
      </c>
      <c r="M6" s="75" t="s">
        <v>33</v>
      </c>
      <c r="N6" s="76"/>
      <c r="Q6" s="22"/>
      <c r="R6" s="22"/>
      <c r="S6" s="22"/>
      <c r="T6" s="22"/>
      <c r="U6" s="22"/>
      <c r="V6" s="22"/>
      <c r="W6" s="22"/>
      <c r="X6" s="22"/>
      <c r="Y6" s="22"/>
    </row>
    <row r="7" spans="1:25" s="6" customFormat="1" ht="12.6" customHeight="1" x14ac:dyDescent="0.3">
      <c r="B7" s="18"/>
      <c r="F7" s="33"/>
      <c r="G7" s="33"/>
      <c r="H7" s="10"/>
      <c r="I7" s="33"/>
      <c r="J7" s="10"/>
      <c r="K7" s="10"/>
      <c r="L7" s="10"/>
    </row>
    <row r="8" spans="1:25" s="11" customFormat="1" ht="37.5" customHeight="1" x14ac:dyDescent="0.15">
      <c r="A8" s="59" t="s">
        <v>1</v>
      </c>
      <c r="B8" s="60" t="s">
        <v>0</v>
      </c>
      <c r="C8" s="60" t="s">
        <v>11</v>
      </c>
      <c r="D8" s="60" t="s">
        <v>2</v>
      </c>
      <c r="E8" s="60" t="s">
        <v>3</v>
      </c>
      <c r="F8" s="61" t="s">
        <v>54</v>
      </c>
      <c r="G8" s="60" t="s">
        <v>4</v>
      </c>
      <c r="H8" s="60" t="s">
        <v>5</v>
      </c>
      <c r="I8" s="61" t="s">
        <v>6</v>
      </c>
      <c r="J8" s="61" t="s">
        <v>51</v>
      </c>
      <c r="K8" s="61" t="s">
        <v>52</v>
      </c>
      <c r="L8" s="61" t="s">
        <v>53</v>
      </c>
      <c r="M8" s="60" t="s">
        <v>24</v>
      </c>
      <c r="N8" s="62" t="s">
        <v>25</v>
      </c>
      <c r="O8" s="63" t="s">
        <v>10</v>
      </c>
      <c r="P8" s="63" t="s">
        <v>26</v>
      </c>
      <c r="Q8" s="63" t="s">
        <v>50</v>
      </c>
      <c r="R8" s="63" t="s">
        <v>62</v>
      </c>
      <c r="S8" s="63" t="s">
        <v>63</v>
      </c>
      <c r="T8" s="63" t="s">
        <v>64</v>
      </c>
      <c r="U8" s="63" t="s">
        <v>65</v>
      </c>
      <c r="V8" s="63" t="s">
        <v>66</v>
      </c>
    </row>
    <row r="9" spans="1:25" s="5" customFormat="1" ht="10.5" x14ac:dyDescent="0.15">
      <c r="A9" s="37">
        <f t="shared" ref="A9:A78" si="0" xml:space="preserve"> ROW()-8</f>
        <v>1</v>
      </c>
      <c r="B9" s="26">
        <v>43469</v>
      </c>
      <c r="C9" s="15" t="s">
        <v>45</v>
      </c>
      <c r="D9" s="15" t="s">
        <v>70</v>
      </c>
      <c r="E9" s="41">
        <v>15.2</v>
      </c>
      <c r="F9" s="34"/>
      <c r="G9" s="34"/>
      <c r="H9" s="15" t="s">
        <v>12</v>
      </c>
      <c r="I9" s="34" t="s">
        <v>59</v>
      </c>
      <c r="J9" s="42">
        <f t="shared" ref="J9:J78" si="1">IF(F9="",IF(Rundung,ROUND(E9/5,2)*5,E9),IF(Rundung, ROUND(E9*G9/5,2)*5,E9*G9))</f>
        <v>15.2</v>
      </c>
      <c r="K9" s="42">
        <f t="shared" ref="K9:K78" si="2">IF(J9&lt;&gt;0,IF(Rundung,ROUND(J9*P9/5,2)*5,J9*P9),0)</f>
        <v>1.0867223769730734</v>
      </c>
      <c r="L9" s="42">
        <f t="shared" ref="L9:L78" si="3">J9-K9</f>
        <v>14.113277623026926</v>
      </c>
      <c r="M9" s="42">
        <f>IF(LEFT(Erfassung[[#This Row],[MWST-Code]],3)="VSM",Erfassung[[#This Row],[Steuer-Betrag CHF]],0)</f>
        <v>0</v>
      </c>
      <c r="N9" s="57">
        <f>IF(LEFT(Erfassung[[#This Row],[MWST-Code]],3)="VSB",Erfassung[[#This Row],[Steuer-Betrag CHF]],0)</f>
        <v>1.0867223769730734</v>
      </c>
      <c r="O9" s="54">
        <f>VLOOKUP(IF(I9="","ohne",I9),Konfiguration!$B$37:$C$42,2,FALSE)</f>
        <v>7.6999999999999999E-2</v>
      </c>
      <c r="P9" s="54">
        <f>O9/(1+O9)</f>
        <v>7.1494893221912728E-2</v>
      </c>
      <c r="Q9" s="54">
        <f>IF($I9=Konfiguration!$B$37,Erfassung[[#This Row],[Betrag CHF]],IF($I9="",Erfassung[[#This Row],[Betrag CHF]],0))</f>
        <v>0</v>
      </c>
      <c r="R9" s="54">
        <f>IF($I9=Konfiguration!$B$38,Erfassung[[#This Row],[Betrag CHF]],0)</f>
        <v>0</v>
      </c>
      <c r="S9" s="54">
        <f>IF($I9=Konfiguration!$B$39,Erfassung[[#This Row],[Betrag CHF]],0)</f>
        <v>0</v>
      </c>
      <c r="T9" s="54">
        <f>IF($I9=Konfiguration!$B$40,Erfassung[[#This Row],[Betrag CHF]],0)</f>
        <v>15.2</v>
      </c>
      <c r="U9" s="54">
        <f>IF($I9=Konfiguration!$B$41,Erfassung[[#This Row],[Betrag CHF]],0)</f>
        <v>0</v>
      </c>
      <c r="V9" s="54">
        <f>IF($I9=Konfiguration!$B$42,Erfassung[[#This Row],[Betrag CHF]],0)</f>
        <v>0</v>
      </c>
      <c r="W9" s="11"/>
      <c r="X9" s="11"/>
      <c r="Y9" s="11"/>
    </row>
    <row r="10" spans="1:25" s="5" customFormat="1" ht="10.5" x14ac:dyDescent="0.15">
      <c r="A10" s="38">
        <f t="shared" si="0"/>
        <v>2</v>
      </c>
      <c r="B10" s="27">
        <v>43483</v>
      </c>
      <c r="C10" s="16" t="s">
        <v>46</v>
      </c>
      <c r="D10" s="16" t="s">
        <v>47</v>
      </c>
      <c r="E10" s="44">
        <v>5.8</v>
      </c>
      <c r="F10" s="35"/>
      <c r="G10" s="35"/>
      <c r="H10" s="16" t="s">
        <v>13</v>
      </c>
      <c r="I10" s="35" t="s">
        <v>60</v>
      </c>
      <c r="J10" s="43">
        <f t="shared" si="1"/>
        <v>5.8</v>
      </c>
      <c r="K10" s="43">
        <f t="shared" si="2"/>
        <v>0.14146341463414636</v>
      </c>
      <c r="L10" s="43">
        <f t="shared" si="3"/>
        <v>5.6585365853658534</v>
      </c>
      <c r="M10" s="43">
        <f>IF(LEFT(Erfassung[[#This Row],[MWST-Code]],3)="VSM",Erfassung[[#This Row],[Steuer-Betrag CHF]],0)</f>
        <v>0</v>
      </c>
      <c r="N10" s="58">
        <f>IF(LEFT(Erfassung[[#This Row],[MWST-Code]],3)="VSB",Erfassung[[#This Row],[Steuer-Betrag CHF]],0)</f>
        <v>0.14146341463414636</v>
      </c>
      <c r="O10" s="54">
        <f>VLOOKUP(IF(I10="","ohne",I10),Konfiguration!$B$37:$C$42,2,FALSE)</f>
        <v>2.5000000000000001E-2</v>
      </c>
      <c r="P10" s="54">
        <f t="shared" ref="P10:P78" si="4">O10/(1+O10)</f>
        <v>2.4390243902439029E-2</v>
      </c>
      <c r="Q10" s="54">
        <f>IF($I10=Konfiguration!$B$37,Erfassung[[#This Row],[Betrag CHF]],IF($I10="",Erfassung[[#This Row],[Betrag CHF]],0))</f>
        <v>0</v>
      </c>
      <c r="R10" s="54">
        <f>IF($I10=Konfiguration!$B$38,Erfassung[[#This Row],[Betrag CHF]],0)</f>
        <v>0</v>
      </c>
      <c r="S10" s="54">
        <f>IF($I10=Konfiguration!$B$39,Erfassung[[#This Row],[Betrag CHF]],0)</f>
        <v>0</v>
      </c>
      <c r="T10" s="54">
        <f>IF($I10=Konfiguration!$B$40,Erfassung[[#This Row],[Betrag CHF]],0)</f>
        <v>0</v>
      </c>
      <c r="U10" s="54">
        <f>IF($I10=Konfiguration!$B$41,Erfassung[[#This Row],[Betrag CHF]],0)</f>
        <v>5.8</v>
      </c>
      <c r="V10" s="54">
        <f>IF($I10=Konfiguration!$B$42,Erfassung[[#This Row],[Betrag CHF]],0)</f>
        <v>0</v>
      </c>
      <c r="W10" s="11"/>
      <c r="X10" s="11"/>
      <c r="Y10" s="11"/>
    </row>
    <row r="11" spans="1:25" s="5" customFormat="1" ht="10.5" x14ac:dyDescent="0.15">
      <c r="A11" s="37">
        <f t="shared" si="0"/>
        <v>3</v>
      </c>
      <c r="B11" s="26">
        <v>43483</v>
      </c>
      <c r="C11" s="15" t="s">
        <v>48</v>
      </c>
      <c r="D11" s="15" t="s">
        <v>49</v>
      </c>
      <c r="E11" s="41">
        <v>34.799999999999997</v>
      </c>
      <c r="F11" s="34" t="s">
        <v>44</v>
      </c>
      <c r="G11" s="34">
        <v>1.0680000000000001</v>
      </c>
      <c r="H11" s="15" t="s">
        <v>43</v>
      </c>
      <c r="I11" s="34" t="s">
        <v>9</v>
      </c>
      <c r="J11" s="42">
        <f t="shared" si="1"/>
        <v>37.166399999999996</v>
      </c>
      <c r="K11" s="42">
        <f t="shared" si="2"/>
        <v>0</v>
      </c>
      <c r="L11" s="42">
        <f t="shared" si="3"/>
        <v>37.166399999999996</v>
      </c>
      <c r="M11" s="42">
        <f>IF(LEFT(Erfassung[[#This Row],[MWST-Code]],3)="VSM",Erfassung[[#This Row],[Steuer-Betrag CHF]],0)</f>
        <v>0</v>
      </c>
      <c r="N11" s="57">
        <f>IF(LEFT(Erfassung[[#This Row],[MWST-Code]],3)="VSB",Erfassung[[#This Row],[Steuer-Betrag CHF]],0)</f>
        <v>0</v>
      </c>
      <c r="O11" s="54">
        <f>VLOOKUP(IF(I11="","ohne",I11),Konfiguration!$B$37:$C$42,2,FALSE)</f>
        <v>0</v>
      </c>
      <c r="P11" s="54">
        <f t="shared" si="4"/>
        <v>0</v>
      </c>
      <c r="Q11" s="54">
        <f>IF($I11=Konfiguration!$B$37,Erfassung[[#This Row],[Betrag CHF]],IF($I11="",Erfassung[[#This Row],[Betrag CHF]],0))</f>
        <v>37.166399999999996</v>
      </c>
      <c r="R11" s="54">
        <f>IF($I11=Konfiguration!$B$38,Erfassung[[#This Row],[Betrag CHF]],0)</f>
        <v>0</v>
      </c>
      <c r="S11" s="54">
        <f>IF($I11=Konfiguration!$B$39,Erfassung[[#This Row],[Betrag CHF]],0)</f>
        <v>0</v>
      </c>
      <c r="T11" s="54">
        <f>IF($I11=Konfiguration!$B$40,Erfassung[[#This Row],[Betrag CHF]],0)</f>
        <v>0</v>
      </c>
      <c r="U11" s="54">
        <f>IF($I11=Konfiguration!$B$41,Erfassung[[#This Row],[Betrag CHF]],0)</f>
        <v>0</v>
      </c>
      <c r="V11" s="54">
        <f>IF($I11=Konfiguration!$B$42,Erfassung[[#This Row],[Betrag CHF]],0)</f>
        <v>0</v>
      </c>
      <c r="W11" s="11"/>
      <c r="X11" s="11"/>
      <c r="Y11" s="11"/>
    </row>
    <row r="12" spans="1:25" s="5" customFormat="1" ht="10.5" x14ac:dyDescent="0.15">
      <c r="A12" s="38">
        <f t="shared" si="0"/>
        <v>4</v>
      </c>
      <c r="B12" s="27">
        <v>43483</v>
      </c>
      <c r="C12" s="16" t="s">
        <v>71</v>
      </c>
      <c r="D12" s="16" t="s">
        <v>72</v>
      </c>
      <c r="E12" s="44">
        <v>450</v>
      </c>
      <c r="F12" s="35"/>
      <c r="G12" s="35"/>
      <c r="H12" s="16" t="s">
        <v>42</v>
      </c>
      <c r="I12" s="35" t="s">
        <v>57</v>
      </c>
      <c r="J12" s="43">
        <f t="shared" si="1"/>
        <v>450</v>
      </c>
      <c r="K12" s="43">
        <f t="shared" si="2"/>
        <v>32.172701949860731</v>
      </c>
      <c r="L12" s="43">
        <f t="shared" si="3"/>
        <v>417.82729805013929</v>
      </c>
      <c r="M12" s="43">
        <f>IF(LEFT(Erfassung[[#This Row],[MWST-Code]],3)="VSM",Erfassung[[#This Row],[Steuer-Betrag CHF]],0)</f>
        <v>32.172701949860731</v>
      </c>
      <c r="N12" s="58">
        <f>IF(LEFT(Erfassung[[#This Row],[MWST-Code]],3)="VSB",Erfassung[[#This Row],[Steuer-Betrag CHF]],0)</f>
        <v>0</v>
      </c>
      <c r="O12" s="54">
        <f>VLOOKUP(IF(I12="","ohne",I12),Konfiguration!$B$37:$C$42,2,FALSE)</f>
        <v>7.6999999999999999E-2</v>
      </c>
      <c r="P12" s="54">
        <f t="shared" si="4"/>
        <v>7.1494893221912728E-2</v>
      </c>
      <c r="Q12" s="54">
        <f>IF($I12=Konfiguration!$B$37,Erfassung[[#This Row],[Betrag CHF]],IF($I12="",Erfassung[[#This Row],[Betrag CHF]],0))</f>
        <v>0</v>
      </c>
      <c r="R12" s="54">
        <f>IF($I12=Konfiguration!$B$38,Erfassung[[#This Row],[Betrag CHF]],0)</f>
        <v>450</v>
      </c>
      <c r="S12" s="54">
        <f>IF($I12=Konfiguration!$B$39,Erfassung[[#This Row],[Betrag CHF]],0)</f>
        <v>0</v>
      </c>
      <c r="T12" s="54">
        <f>IF($I12=Konfiguration!$B$40,Erfassung[[#This Row],[Betrag CHF]],0)</f>
        <v>0</v>
      </c>
      <c r="U12" s="54">
        <f>IF($I12=Konfiguration!$B$41,Erfassung[[#This Row],[Betrag CHF]],0)</f>
        <v>0</v>
      </c>
      <c r="V12" s="54">
        <f>IF($I12=Konfiguration!$B$42,Erfassung[[#This Row],[Betrag CHF]],0)</f>
        <v>0</v>
      </c>
      <c r="W12" s="11"/>
      <c r="X12" s="11"/>
      <c r="Y12" s="11"/>
    </row>
    <row r="13" spans="1:25" s="5" customFormat="1" ht="10.5" x14ac:dyDescent="0.15">
      <c r="A13" s="37">
        <f t="shared" si="0"/>
        <v>5</v>
      </c>
      <c r="B13" s="27"/>
      <c r="C13" s="15"/>
      <c r="D13" s="15"/>
      <c r="E13" s="41"/>
      <c r="F13" s="34"/>
      <c r="G13" s="34"/>
      <c r="H13" s="15"/>
      <c r="I13" s="34"/>
      <c r="J13" s="42">
        <f t="shared" si="1"/>
        <v>0</v>
      </c>
      <c r="K13" s="42">
        <f t="shared" si="2"/>
        <v>0</v>
      </c>
      <c r="L13" s="42">
        <f t="shared" si="3"/>
        <v>0</v>
      </c>
      <c r="M13" s="42">
        <f>IF(LEFT(Erfassung[[#This Row],[MWST-Code]],3)="VSM",Erfassung[[#This Row],[Steuer-Betrag CHF]],0)</f>
        <v>0</v>
      </c>
      <c r="N13" s="57">
        <f>IF(LEFT(Erfassung[[#This Row],[MWST-Code]],3)="VSB",Erfassung[[#This Row],[Steuer-Betrag CHF]],0)</f>
        <v>0</v>
      </c>
      <c r="O13" s="54">
        <f>VLOOKUP(IF(I13="","ohne",I13),Konfiguration!$B$37:$C$42,2,FALSE)</f>
        <v>0</v>
      </c>
      <c r="P13" s="54">
        <f t="shared" si="4"/>
        <v>0</v>
      </c>
      <c r="Q13" s="54">
        <f>IF($I13=Konfiguration!$B$37,Erfassung[[#This Row],[Betrag CHF]],IF($I13="",Erfassung[[#This Row],[Betrag CHF]],0))</f>
        <v>0</v>
      </c>
      <c r="R13" s="54">
        <f>IF($I13=Konfiguration!$B$38,Erfassung[[#This Row],[Betrag CHF]],0)</f>
        <v>0</v>
      </c>
      <c r="S13" s="54">
        <f>IF($I13=Konfiguration!$B$39,Erfassung[[#This Row],[Betrag CHF]],0)</f>
        <v>0</v>
      </c>
      <c r="T13" s="54">
        <f>IF($I13=Konfiguration!$B$40,Erfassung[[#This Row],[Betrag CHF]],0)</f>
        <v>0</v>
      </c>
      <c r="U13" s="54">
        <f>IF($I13=Konfiguration!$B$41,Erfassung[[#This Row],[Betrag CHF]],0)</f>
        <v>0</v>
      </c>
      <c r="V13" s="54">
        <f>IF($I13=Konfiguration!$B$42,Erfassung[[#This Row],[Betrag CHF]],0)</f>
        <v>0</v>
      </c>
      <c r="W13" s="11"/>
      <c r="X13" s="11"/>
      <c r="Y13" s="11"/>
    </row>
    <row r="14" spans="1:25" s="5" customFormat="1" ht="10.5" x14ac:dyDescent="0.15">
      <c r="A14" s="38">
        <f t="shared" si="0"/>
        <v>6</v>
      </c>
      <c r="B14" s="27"/>
      <c r="C14" s="16"/>
      <c r="D14" s="16"/>
      <c r="E14" s="44"/>
      <c r="F14" s="35"/>
      <c r="G14" s="35"/>
      <c r="H14" s="16"/>
      <c r="I14" s="35"/>
      <c r="J14" s="43">
        <f t="shared" si="1"/>
        <v>0</v>
      </c>
      <c r="K14" s="43">
        <f t="shared" si="2"/>
        <v>0</v>
      </c>
      <c r="L14" s="43">
        <f t="shared" si="3"/>
        <v>0</v>
      </c>
      <c r="M14" s="43">
        <f>IF(LEFT(Erfassung[[#This Row],[MWST-Code]],3)="VSM",Erfassung[[#This Row],[Steuer-Betrag CHF]],0)</f>
        <v>0</v>
      </c>
      <c r="N14" s="58">
        <f>IF(LEFT(Erfassung[[#This Row],[MWST-Code]],3)="VSB",Erfassung[[#This Row],[Steuer-Betrag CHF]],0)</f>
        <v>0</v>
      </c>
      <c r="O14" s="54">
        <f>VLOOKUP(IF(I14="","ohne",I14),Konfiguration!$B$37:$C$42,2,FALSE)</f>
        <v>0</v>
      </c>
      <c r="P14" s="54">
        <f t="shared" si="4"/>
        <v>0</v>
      </c>
      <c r="Q14" s="54">
        <f>IF($I14=Konfiguration!$B$37,Erfassung[[#This Row],[Betrag CHF]],IF($I14="",Erfassung[[#This Row],[Betrag CHF]],0))</f>
        <v>0</v>
      </c>
      <c r="R14" s="54">
        <f>IF($I14=Konfiguration!$B$38,Erfassung[[#This Row],[Betrag CHF]],0)</f>
        <v>0</v>
      </c>
      <c r="S14" s="54">
        <f>IF($I14=Konfiguration!$B$39,Erfassung[[#This Row],[Betrag CHF]],0)</f>
        <v>0</v>
      </c>
      <c r="T14" s="54">
        <f>IF($I14=Konfiguration!$B$40,Erfassung[[#This Row],[Betrag CHF]],0)</f>
        <v>0</v>
      </c>
      <c r="U14" s="54">
        <f>IF($I14=Konfiguration!$B$41,Erfassung[[#This Row],[Betrag CHF]],0)</f>
        <v>0</v>
      </c>
      <c r="V14" s="54">
        <f>IF($I14=Konfiguration!$B$42,Erfassung[[#This Row],[Betrag CHF]],0)</f>
        <v>0</v>
      </c>
      <c r="W14" s="11"/>
      <c r="X14" s="11"/>
      <c r="Y14" s="11"/>
    </row>
    <row r="15" spans="1:25" s="5" customFormat="1" ht="10.5" x14ac:dyDescent="0.15">
      <c r="A15" s="37">
        <f t="shared" si="0"/>
        <v>7</v>
      </c>
      <c r="B15" s="27"/>
      <c r="C15" s="15"/>
      <c r="D15" s="15"/>
      <c r="E15" s="41"/>
      <c r="F15" s="34"/>
      <c r="G15" s="34"/>
      <c r="H15" s="15"/>
      <c r="I15" s="34"/>
      <c r="J15" s="42">
        <f t="shared" si="1"/>
        <v>0</v>
      </c>
      <c r="K15" s="42">
        <f t="shared" si="2"/>
        <v>0</v>
      </c>
      <c r="L15" s="42">
        <f t="shared" si="3"/>
        <v>0</v>
      </c>
      <c r="M15" s="42">
        <f>IF(LEFT(Erfassung[[#This Row],[MWST-Code]],3)="VSM",Erfassung[[#This Row],[Steuer-Betrag CHF]],0)</f>
        <v>0</v>
      </c>
      <c r="N15" s="57">
        <f>IF(LEFT(Erfassung[[#This Row],[MWST-Code]],3)="VSB",Erfassung[[#This Row],[Steuer-Betrag CHF]],0)</f>
        <v>0</v>
      </c>
      <c r="O15" s="54">
        <f>VLOOKUP(IF(I15="","ohne",I15),Konfiguration!$B$37:$C$42,2,FALSE)</f>
        <v>0</v>
      </c>
      <c r="P15" s="54">
        <f t="shared" si="4"/>
        <v>0</v>
      </c>
      <c r="Q15" s="54">
        <f>IF($I15=Konfiguration!$B$37,Erfassung[[#This Row],[Betrag CHF]],IF($I15="",Erfassung[[#This Row],[Betrag CHF]],0))</f>
        <v>0</v>
      </c>
      <c r="R15" s="54">
        <f>IF($I15=Konfiguration!$B$38,Erfassung[[#This Row],[Betrag CHF]],0)</f>
        <v>0</v>
      </c>
      <c r="S15" s="54">
        <f>IF($I15=Konfiguration!$B$39,Erfassung[[#This Row],[Betrag CHF]],0)</f>
        <v>0</v>
      </c>
      <c r="T15" s="54">
        <f>IF($I15=Konfiguration!$B$40,Erfassung[[#This Row],[Betrag CHF]],0)</f>
        <v>0</v>
      </c>
      <c r="U15" s="54">
        <f>IF($I15=Konfiguration!$B$41,Erfassung[[#This Row],[Betrag CHF]],0)</f>
        <v>0</v>
      </c>
      <c r="V15" s="54">
        <f>IF($I15=Konfiguration!$B$42,Erfassung[[#This Row],[Betrag CHF]],0)</f>
        <v>0</v>
      </c>
      <c r="W15" s="11"/>
      <c r="X15" s="11"/>
      <c r="Y15" s="11"/>
    </row>
    <row r="16" spans="1:25" s="5" customFormat="1" ht="10.5" x14ac:dyDescent="0.15">
      <c r="A16" s="38">
        <f t="shared" si="0"/>
        <v>8</v>
      </c>
      <c r="B16" s="27"/>
      <c r="C16" s="16"/>
      <c r="D16" s="16"/>
      <c r="E16" s="44"/>
      <c r="F16" s="35"/>
      <c r="G16" s="35"/>
      <c r="H16" s="16"/>
      <c r="I16" s="35"/>
      <c r="J16" s="43">
        <f t="shared" si="1"/>
        <v>0</v>
      </c>
      <c r="K16" s="43">
        <f t="shared" si="2"/>
        <v>0</v>
      </c>
      <c r="L16" s="43">
        <f t="shared" si="3"/>
        <v>0</v>
      </c>
      <c r="M16" s="43">
        <f>IF(LEFT(Erfassung[[#This Row],[MWST-Code]],3)="VSM",Erfassung[[#This Row],[Steuer-Betrag CHF]],0)</f>
        <v>0</v>
      </c>
      <c r="N16" s="58">
        <f>IF(LEFT(Erfassung[[#This Row],[MWST-Code]],3)="VSB",Erfassung[[#This Row],[Steuer-Betrag CHF]],0)</f>
        <v>0</v>
      </c>
      <c r="O16" s="54">
        <f>VLOOKUP(IF(I16="","ohne",I16),Konfiguration!$B$37:$C$42,2,FALSE)</f>
        <v>0</v>
      </c>
      <c r="P16" s="54">
        <f t="shared" si="4"/>
        <v>0</v>
      </c>
      <c r="Q16" s="54">
        <f>IF($I16=Konfiguration!$B$37,Erfassung[[#This Row],[Betrag CHF]],IF($I16="",Erfassung[[#This Row],[Betrag CHF]],0))</f>
        <v>0</v>
      </c>
      <c r="R16" s="54">
        <f>IF($I16=Konfiguration!$B$38,Erfassung[[#This Row],[Betrag CHF]],0)</f>
        <v>0</v>
      </c>
      <c r="S16" s="54">
        <f>IF($I16=Konfiguration!$B$39,Erfassung[[#This Row],[Betrag CHF]],0)</f>
        <v>0</v>
      </c>
      <c r="T16" s="54">
        <f>IF($I16=Konfiguration!$B$40,Erfassung[[#This Row],[Betrag CHF]],0)</f>
        <v>0</v>
      </c>
      <c r="U16" s="54">
        <f>IF($I16=Konfiguration!$B$41,Erfassung[[#This Row],[Betrag CHF]],0)</f>
        <v>0</v>
      </c>
      <c r="V16" s="54">
        <f>IF($I16=Konfiguration!$B$42,Erfassung[[#This Row],[Betrag CHF]],0)</f>
        <v>0</v>
      </c>
      <c r="W16" s="11"/>
      <c r="X16" s="11"/>
      <c r="Y16" s="11"/>
    </row>
    <row r="17" spans="1:25" s="5" customFormat="1" ht="10.5" x14ac:dyDescent="0.15">
      <c r="A17" s="37">
        <f t="shared" si="0"/>
        <v>9</v>
      </c>
      <c r="B17" s="27"/>
      <c r="C17" s="16"/>
      <c r="D17" s="15"/>
      <c r="E17" s="41"/>
      <c r="F17" s="34"/>
      <c r="G17" s="34"/>
      <c r="H17" s="15"/>
      <c r="I17" s="34"/>
      <c r="J17" s="42">
        <f t="shared" si="1"/>
        <v>0</v>
      </c>
      <c r="K17" s="42">
        <f t="shared" si="2"/>
        <v>0</v>
      </c>
      <c r="L17" s="42">
        <f t="shared" si="3"/>
        <v>0</v>
      </c>
      <c r="M17" s="42">
        <f>IF(LEFT(Erfassung[[#This Row],[MWST-Code]],3)="VSM",Erfassung[[#This Row],[Steuer-Betrag CHF]],0)</f>
        <v>0</v>
      </c>
      <c r="N17" s="57">
        <f>IF(LEFT(Erfassung[[#This Row],[MWST-Code]],3)="VSB",Erfassung[[#This Row],[Steuer-Betrag CHF]],0)</f>
        <v>0</v>
      </c>
      <c r="O17" s="54">
        <f>VLOOKUP(IF(I17="","ohne",I17),Konfiguration!$B$37:$C$42,2,FALSE)</f>
        <v>0</v>
      </c>
      <c r="P17" s="54">
        <f t="shared" si="4"/>
        <v>0</v>
      </c>
      <c r="Q17" s="54">
        <f>IF($I17=Konfiguration!$B$37,Erfassung[[#This Row],[Betrag CHF]],IF($I17="",Erfassung[[#This Row],[Betrag CHF]],0))</f>
        <v>0</v>
      </c>
      <c r="R17" s="54">
        <f>IF($I17=Konfiguration!$B$38,Erfassung[[#This Row],[Betrag CHF]],0)</f>
        <v>0</v>
      </c>
      <c r="S17" s="54">
        <f>IF($I17=Konfiguration!$B$39,Erfassung[[#This Row],[Betrag CHF]],0)</f>
        <v>0</v>
      </c>
      <c r="T17" s="54">
        <f>IF($I17=Konfiguration!$B$40,Erfassung[[#This Row],[Betrag CHF]],0)</f>
        <v>0</v>
      </c>
      <c r="U17" s="54">
        <f>IF($I17=Konfiguration!$B$41,Erfassung[[#This Row],[Betrag CHF]],0)</f>
        <v>0</v>
      </c>
      <c r="V17" s="54">
        <f>IF($I17=Konfiguration!$B$42,Erfassung[[#This Row],[Betrag CHF]],0)</f>
        <v>0</v>
      </c>
      <c r="W17" s="11"/>
      <c r="X17" s="11"/>
      <c r="Y17" s="11"/>
    </row>
    <row r="18" spans="1:25" s="5" customFormat="1" ht="10.5" x14ac:dyDescent="0.15">
      <c r="A18" s="38">
        <f t="shared" si="0"/>
        <v>10</v>
      </c>
      <c r="B18" s="27"/>
      <c r="C18" s="16"/>
      <c r="D18" s="16"/>
      <c r="E18" s="44"/>
      <c r="F18" s="35"/>
      <c r="G18" s="35"/>
      <c r="H18" s="16"/>
      <c r="I18" s="35"/>
      <c r="J18" s="43">
        <f t="shared" si="1"/>
        <v>0</v>
      </c>
      <c r="K18" s="43">
        <f t="shared" si="2"/>
        <v>0</v>
      </c>
      <c r="L18" s="43">
        <f t="shared" si="3"/>
        <v>0</v>
      </c>
      <c r="M18" s="43">
        <f>IF(LEFT(Erfassung[[#This Row],[MWST-Code]],3)="VSM",Erfassung[[#This Row],[Steuer-Betrag CHF]],0)</f>
        <v>0</v>
      </c>
      <c r="N18" s="58">
        <f>IF(LEFT(Erfassung[[#This Row],[MWST-Code]],3)="VSB",Erfassung[[#This Row],[Steuer-Betrag CHF]],0)</f>
        <v>0</v>
      </c>
      <c r="O18" s="54">
        <f>VLOOKUP(IF(I18="","ohne",I18),Konfiguration!$B$37:$C$42,2,FALSE)</f>
        <v>0</v>
      </c>
      <c r="P18" s="54">
        <f t="shared" si="4"/>
        <v>0</v>
      </c>
      <c r="Q18" s="54">
        <f>IF($I18=Konfiguration!$B$37,Erfassung[[#This Row],[Betrag CHF]],IF($I18="",Erfassung[[#This Row],[Betrag CHF]],0))</f>
        <v>0</v>
      </c>
      <c r="R18" s="54">
        <f>IF($I18=Konfiguration!$B$38,Erfassung[[#This Row],[Betrag CHF]],0)</f>
        <v>0</v>
      </c>
      <c r="S18" s="54">
        <f>IF($I18=Konfiguration!$B$39,Erfassung[[#This Row],[Betrag CHF]],0)</f>
        <v>0</v>
      </c>
      <c r="T18" s="54">
        <f>IF($I18=Konfiguration!$B$40,Erfassung[[#This Row],[Betrag CHF]],0)</f>
        <v>0</v>
      </c>
      <c r="U18" s="54">
        <f>IF($I18=Konfiguration!$B$41,Erfassung[[#This Row],[Betrag CHF]],0)</f>
        <v>0</v>
      </c>
      <c r="V18" s="54">
        <f>IF($I18=Konfiguration!$B$42,Erfassung[[#This Row],[Betrag CHF]],0)</f>
        <v>0</v>
      </c>
      <c r="W18" s="11"/>
      <c r="X18" s="11"/>
      <c r="Y18" s="11"/>
    </row>
    <row r="19" spans="1:25" s="5" customFormat="1" ht="10.5" x14ac:dyDescent="0.15">
      <c r="A19" s="37">
        <f t="shared" si="0"/>
        <v>11</v>
      </c>
      <c r="B19" s="26"/>
      <c r="C19" s="15"/>
      <c r="D19" s="15"/>
      <c r="E19" s="41"/>
      <c r="F19" s="34"/>
      <c r="G19" s="34"/>
      <c r="H19" s="15"/>
      <c r="I19" s="34"/>
      <c r="J19" s="42">
        <f t="shared" si="1"/>
        <v>0</v>
      </c>
      <c r="K19" s="42">
        <f t="shared" si="2"/>
        <v>0</v>
      </c>
      <c r="L19" s="42">
        <f t="shared" si="3"/>
        <v>0</v>
      </c>
      <c r="M19" s="42">
        <f>IF(LEFT(Erfassung[[#This Row],[MWST-Code]],3)="VSM",Erfassung[[#This Row],[Steuer-Betrag CHF]],0)</f>
        <v>0</v>
      </c>
      <c r="N19" s="57">
        <f>IF(LEFT(Erfassung[[#This Row],[MWST-Code]],3)="VSB",Erfassung[[#This Row],[Steuer-Betrag CHF]],0)</f>
        <v>0</v>
      </c>
      <c r="O19" s="54">
        <f>VLOOKUP(IF(I19="","ohne",I19),Konfiguration!$B$37:$C$42,2,FALSE)</f>
        <v>0</v>
      </c>
      <c r="P19" s="54">
        <f t="shared" si="4"/>
        <v>0</v>
      </c>
      <c r="Q19" s="54">
        <f>IF($I19=Konfiguration!$B$37,Erfassung[[#This Row],[Betrag CHF]],IF($I19="",Erfassung[[#This Row],[Betrag CHF]],0))</f>
        <v>0</v>
      </c>
      <c r="R19" s="54">
        <f>IF($I19=Konfiguration!$B$38,Erfassung[[#This Row],[Betrag CHF]],0)</f>
        <v>0</v>
      </c>
      <c r="S19" s="54">
        <f>IF($I19=Konfiguration!$B$39,Erfassung[[#This Row],[Betrag CHF]],0)</f>
        <v>0</v>
      </c>
      <c r="T19" s="54">
        <f>IF($I19=Konfiguration!$B$40,Erfassung[[#This Row],[Betrag CHF]],0)</f>
        <v>0</v>
      </c>
      <c r="U19" s="54">
        <f>IF($I19=Konfiguration!$B$41,Erfassung[[#This Row],[Betrag CHF]],0)</f>
        <v>0</v>
      </c>
      <c r="V19" s="54">
        <f>IF($I19=Konfiguration!$B$42,Erfassung[[#This Row],[Betrag CHF]],0)</f>
        <v>0</v>
      </c>
      <c r="W19" s="11"/>
      <c r="X19" s="11"/>
      <c r="Y19" s="11"/>
    </row>
    <row r="20" spans="1:25" s="5" customFormat="1" ht="10.5" x14ac:dyDescent="0.15">
      <c r="A20" s="38">
        <f t="shared" si="0"/>
        <v>12</v>
      </c>
      <c r="B20" s="27"/>
      <c r="C20" s="16"/>
      <c r="D20" s="16"/>
      <c r="E20" s="44"/>
      <c r="F20" s="35"/>
      <c r="G20" s="35"/>
      <c r="H20" s="16"/>
      <c r="I20" s="35"/>
      <c r="J20" s="43">
        <f t="shared" si="1"/>
        <v>0</v>
      </c>
      <c r="K20" s="43">
        <f t="shared" si="2"/>
        <v>0</v>
      </c>
      <c r="L20" s="43">
        <f t="shared" si="3"/>
        <v>0</v>
      </c>
      <c r="M20" s="43">
        <f>IF(LEFT(Erfassung[[#This Row],[MWST-Code]],3)="VSM",Erfassung[[#This Row],[Steuer-Betrag CHF]],0)</f>
        <v>0</v>
      </c>
      <c r="N20" s="58">
        <f>IF(LEFT(Erfassung[[#This Row],[MWST-Code]],3)="VSB",Erfassung[[#This Row],[Steuer-Betrag CHF]],0)</f>
        <v>0</v>
      </c>
      <c r="O20" s="54">
        <f>VLOOKUP(IF(I20="","ohne",I20),Konfiguration!$B$37:$C$42,2,FALSE)</f>
        <v>0</v>
      </c>
      <c r="P20" s="54">
        <f t="shared" si="4"/>
        <v>0</v>
      </c>
      <c r="Q20" s="54">
        <f>IF($I20=Konfiguration!$B$37,Erfassung[[#This Row],[Betrag CHF]],IF($I20="",Erfassung[[#This Row],[Betrag CHF]],0))</f>
        <v>0</v>
      </c>
      <c r="R20" s="54">
        <f>IF($I20=Konfiguration!$B$38,Erfassung[[#This Row],[Betrag CHF]],0)</f>
        <v>0</v>
      </c>
      <c r="S20" s="54">
        <f>IF($I20=Konfiguration!$B$39,Erfassung[[#This Row],[Betrag CHF]],0)</f>
        <v>0</v>
      </c>
      <c r="T20" s="54">
        <f>IF($I20=Konfiguration!$B$40,Erfassung[[#This Row],[Betrag CHF]],0)</f>
        <v>0</v>
      </c>
      <c r="U20" s="54">
        <f>IF($I20=Konfiguration!$B$41,Erfassung[[#This Row],[Betrag CHF]],0)</f>
        <v>0</v>
      </c>
      <c r="V20" s="54">
        <f>IF($I20=Konfiguration!$B$42,Erfassung[[#This Row],[Betrag CHF]],0)</f>
        <v>0</v>
      </c>
      <c r="W20" s="11"/>
      <c r="X20" s="11"/>
      <c r="Y20" s="11"/>
    </row>
    <row r="21" spans="1:25" s="5" customFormat="1" ht="10.5" x14ac:dyDescent="0.15">
      <c r="A21" s="37">
        <f t="shared" si="0"/>
        <v>13</v>
      </c>
      <c r="B21" s="26"/>
      <c r="C21" s="15"/>
      <c r="D21" s="15"/>
      <c r="E21" s="41"/>
      <c r="F21" s="34"/>
      <c r="G21" s="34"/>
      <c r="H21" s="15"/>
      <c r="I21" s="34"/>
      <c r="J21" s="42">
        <f t="shared" si="1"/>
        <v>0</v>
      </c>
      <c r="K21" s="42">
        <f t="shared" si="2"/>
        <v>0</v>
      </c>
      <c r="L21" s="42">
        <f t="shared" si="3"/>
        <v>0</v>
      </c>
      <c r="M21" s="42">
        <f>IF(LEFT(Erfassung[[#This Row],[MWST-Code]],3)="VSM",Erfassung[[#This Row],[Steuer-Betrag CHF]],0)</f>
        <v>0</v>
      </c>
      <c r="N21" s="57">
        <f>IF(LEFT(Erfassung[[#This Row],[MWST-Code]],3)="VSB",Erfassung[[#This Row],[Steuer-Betrag CHF]],0)</f>
        <v>0</v>
      </c>
      <c r="O21" s="54">
        <f>VLOOKUP(IF(I21="","ohne",I21),Konfiguration!$B$37:$C$42,2,FALSE)</f>
        <v>0</v>
      </c>
      <c r="P21" s="54">
        <f t="shared" si="4"/>
        <v>0</v>
      </c>
      <c r="Q21" s="54">
        <f>IF($I21=Konfiguration!$B$37,Erfassung[[#This Row],[Betrag CHF]],IF($I21="",Erfassung[[#This Row],[Betrag CHF]],0))</f>
        <v>0</v>
      </c>
      <c r="R21" s="54">
        <f>IF($I21=Konfiguration!$B$38,Erfassung[[#This Row],[Betrag CHF]],0)</f>
        <v>0</v>
      </c>
      <c r="S21" s="54">
        <f>IF($I21=Konfiguration!$B$39,Erfassung[[#This Row],[Betrag CHF]],0)</f>
        <v>0</v>
      </c>
      <c r="T21" s="54">
        <f>IF($I21=Konfiguration!$B$40,Erfassung[[#This Row],[Betrag CHF]],0)</f>
        <v>0</v>
      </c>
      <c r="U21" s="54">
        <f>IF($I21=Konfiguration!$B$41,Erfassung[[#This Row],[Betrag CHF]],0)</f>
        <v>0</v>
      </c>
      <c r="V21" s="54">
        <f>IF($I21=Konfiguration!$B$42,Erfassung[[#This Row],[Betrag CHF]],0)</f>
        <v>0</v>
      </c>
      <c r="W21" s="11"/>
      <c r="X21" s="11"/>
      <c r="Y21" s="11"/>
    </row>
    <row r="22" spans="1:25" s="5" customFormat="1" ht="10.5" x14ac:dyDescent="0.15">
      <c r="A22" s="38">
        <f t="shared" si="0"/>
        <v>14</v>
      </c>
      <c r="B22" s="27"/>
      <c r="C22" s="16"/>
      <c r="D22" s="16"/>
      <c r="E22" s="44"/>
      <c r="F22" s="35"/>
      <c r="G22" s="35"/>
      <c r="H22" s="16"/>
      <c r="I22" s="35"/>
      <c r="J22" s="43">
        <f t="shared" si="1"/>
        <v>0</v>
      </c>
      <c r="K22" s="43">
        <f t="shared" si="2"/>
        <v>0</v>
      </c>
      <c r="L22" s="43">
        <f t="shared" si="3"/>
        <v>0</v>
      </c>
      <c r="M22" s="43">
        <f>IF(LEFT(Erfassung[[#This Row],[MWST-Code]],3)="VSM",Erfassung[[#This Row],[Steuer-Betrag CHF]],0)</f>
        <v>0</v>
      </c>
      <c r="N22" s="58">
        <f>IF(LEFT(Erfassung[[#This Row],[MWST-Code]],3)="VSB",Erfassung[[#This Row],[Steuer-Betrag CHF]],0)</f>
        <v>0</v>
      </c>
      <c r="O22" s="54">
        <f>VLOOKUP(IF(I22="","ohne",I22),Konfiguration!$B$37:$C$42,2,FALSE)</f>
        <v>0</v>
      </c>
      <c r="P22" s="54">
        <f t="shared" si="4"/>
        <v>0</v>
      </c>
      <c r="Q22" s="54">
        <f>IF($I22=Konfiguration!$B$37,Erfassung[[#This Row],[Betrag CHF]],IF($I22="",Erfassung[[#This Row],[Betrag CHF]],0))</f>
        <v>0</v>
      </c>
      <c r="R22" s="54">
        <f>IF($I22=Konfiguration!$B$38,Erfassung[[#This Row],[Betrag CHF]],0)</f>
        <v>0</v>
      </c>
      <c r="S22" s="54">
        <f>IF($I22=Konfiguration!$B$39,Erfassung[[#This Row],[Betrag CHF]],0)</f>
        <v>0</v>
      </c>
      <c r="T22" s="54">
        <f>IF($I22=Konfiguration!$B$40,Erfassung[[#This Row],[Betrag CHF]],0)</f>
        <v>0</v>
      </c>
      <c r="U22" s="54">
        <f>IF($I22=Konfiguration!$B$41,Erfassung[[#This Row],[Betrag CHF]],0)</f>
        <v>0</v>
      </c>
      <c r="V22" s="54">
        <f>IF($I22=Konfiguration!$B$42,Erfassung[[#This Row],[Betrag CHF]],0)</f>
        <v>0</v>
      </c>
      <c r="W22" s="11"/>
      <c r="X22" s="11"/>
      <c r="Y22" s="11"/>
    </row>
    <row r="23" spans="1:25" s="5" customFormat="1" ht="10.5" x14ac:dyDescent="0.15">
      <c r="A23" s="38">
        <f t="shared" si="0"/>
        <v>15</v>
      </c>
      <c r="B23" s="27"/>
      <c r="C23" s="16"/>
      <c r="D23" s="16"/>
      <c r="E23" s="44"/>
      <c r="F23" s="35"/>
      <c r="G23" s="35"/>
      <c r="H23" s="16"/>
      <c r="I23" s="35"/>
      <c r="J23" s="43">
        <f t="shared" si="1"/>
        <v>0</v>
      </c>
      <c r="K23" s="43">
        <f t="shared" si="2"/>
        <v>0</v>
      </c>
      <c r="L23" s="43">
        <f t="shared" si="3"/>
        <v>0</v>
      </c>
      <c r="M23" s="43">
        <f>IF(LEFT(Erfassung[[#This Row],[MWST-Code]],3)="VSM",Erfassung[[#This Row],[Steuer-Betrag CHF]],0)</f>
        <v>0</v>
      </c>
      <c r="N23" s="58">
        <f>IF(LEFT(Erfassung[[#This Row],[MWST-Code]],3)="VSB",Erfassung[[#This Row],[Steuer-Betrag CHF]],0)</f>
        <v>0</v>
      </c>
      <c r="O23" s="54">
        <f>VLOOKUP(IF(I23="","ohne",I23),Konfiguration!$B$37:$C$42,2,FALSE)</f>
        <v>0</v>
      </c>
      <c r="P23" s="54">
        <f t="shared" si="4"/>
        <v>0</v>
      </c>
      <c r="Q23" s="54">
        <f>IF($I23=Konfiguration!$B$37,Erfassung[[#This Row],[Betrag CHF]],IF($I23="",Erfassung[[#This Row],[Betrag CHF]],0))</f>
        <v>0</v>
      </c>
      <c r="R23" s="54">
        <f>IF($I23=Konfiguration!$B$38,Erfassung[[#This Row],[Betrag CHF]],0)</f>
        <v>0</v>
      </c>
      <c r="S23" s="54">
        <f>IF($I23=Konfiguration!$B$39,Erfassung[[#This Row],[Betrag CHF]],0)</f>
        <v>0</v>
      </c>
      <c r="T23" s="54">
        <f>IF($I23=Konfiguration!$B$40,Erfassung[[#This Row],[Betrag CHF]],0)</f>
        <v>0</v>
      </c>
      <c r="U23" s="54">
        <f>IF($I23=Konfiguration!$B$41,Erfassung[[#This Row],[Betrag CHF]],0)</f>
        <v>0</v>
      </c>
      <c r="V23" s="54">
        <f>IF($I23=Konfiguration!$B$42,Erfassung[[#This Row],[Betrag CHF]],0)</f>
        <v>0</v>
      </c>
      <c r="W23" s="11"/>
      <c r="X23" s="11"/>
      <c r="Y23" s="11"/>
    </row>
    <row r="24" spans="1:25" s="5" customFormat="1" ht="10.5" x14ac:dyDescent="0.15">
      <c r="A24" s="38">
        <f t="shared" si="0"/>
        <v>16</v>
      </c>
      <c r="B24" s="27"/>
      <c r="C24" s="16"/>
      <c r="D24" s="16"/>
      <c r="E24" s="44"/>
      <c r="F24" s="35"/>
      <c r="G24" s="35"/>
      <c r="H24" s="16"/>
      <c r="I24" s="35"/>
      <c r="J24" s="43">
        <f t="shared" si="1"/>
        <v>0</v>
      </c>
      <c r="K24" s="43">
        <f t="shared" si="2"/>
        <v>0</v>
      </c>
      <c r="L24" s="43">
        <f t="shared" si="3"/>
        <v>0</v>
      </c>
      <c r="M24" s="43">
        <f>IF(LEFT(Erfassung[[#This Row],[MWST-Code]],3)="VSM",Erfassung[[#This Row],[Steuer-Betrag CHF]],0)</f>
        <v>0</v>
      </c>
      <c r="N24" s="58">
        <f>IF(LEFT(Erfassung[[#This Row],[MWST-Code]],3)="VSB",Erfassung[[#This Row],[Steuer-Betrag CHF]],0)</f>
        <v>0</v>
      </c>
      <c r="O24" s="54">
        <f>VLOOKUP(IF(I24="","ohne",I24),Konfiguration!$B$37:$C$42,2,FALSE)</f>
        <v>0</v>
      </c>
      <c r="P24" s="54">
        <f t="shared" si="4"/>
        <v>0</v>
      </c>
      <c r="Q24" s="54">
        <f>IF($I24=Konfiguration!$B$37,Erfassung[[#This Row],[Betrag CHF]],IF($I24="",Erfassung[[#This Row],[Betrag CHF]],0))</f>
        <v>0</v>
      </c>
      <c r="R24" s="54">
        <f>IF($I24=Konfiguration!$B$38,Erfassung[[#This Row],[Betrag CHF]],0)</f>
        <v>0</v>
      </c>
      <c r="S24" s="54">
        <f>IF($I24=Konfiguration!$B$39,Erfassung[[#This Row],[Betrag CHF]],0)</f>
        <v>0</v>
      </c>
      <c r="T24" s="54">
        <f>IF($I24=Konfiguration!$B$40,Erfassung[[#This Row],[Betrag CHF]],0)</f>
        <v>0</v>
      </c>
      <c r="U24" s="54">
        <f>IF($I24=Konfiguration!$B$41,Erfassung[[#This Row],[Betrag CHF]],0)</f>
        <v>0</v>
      </c>
      <c r="V24" s="54">
        <f>IF($I24=Konfiguration!$B$42,Erfassung[[#This Row],[Betrag CHF]],0)</f>
        <v>0</v>
      </c>
      <c r="W24" s="11"/>
      <c r="X24" s="11"/>
      <c r="Y24" s="11"/>
    </row>
    <row r="25" spans="1:25" s="5" customFormat="1" ht="10.5" x14ac:dyDescent="0.15">
      <c r="A25" s="37">
        <f t="shared" si="0"/>
        <v>17</v>
      </c>
      <c r="B25" s="26"/>
      <c r="C25" s="15"/>
      <c r="D25" s="15"/>
      <c r="E25" s="41"/>
      <c r="F25" s="34"/>
      <c r="G25" s="34"/>
      <c r="H25" s="15"/>
      <c r="I25" s="34"/>
      <c r="J25" s="42">
        <f t="shared" si="1"/>
        <v>0</v>
      </c>
      <c r="K25" s="42">
        <f t="shared" si="2"/>
        <v>0</v>
      </c>
      <c r="L25" s="42">
        <f t="shared" si="3"/>
        <v>0</v>
      </c>
      <c r="M25" s="42">
        <f>IF(LEFT(Erfassung[[#This Row],[MWST-Code]],3)="VSM",Erfassung[[#This Row],[Steuer-Betrag CHF]],0)</f>
        <v>0</v>
      </c>
      <c r="N25" s="57">
        <f>IF(LEFT(Erfassung[[#This Row],[MWST-Code]],3)="VSB",Erfassung[[#This Row],[Steuer-Betrag CHF]],0)</f>
        <v>0</v>
      </c>
      <c r="O25" s="54">
        <f>VLOOKUP(IF(I25="","ohne",I25),Konfiguration!$B$37:$C$42,2,FALSE)</f>
        <v>0</v>
      </c>
      <c r="P25" s="54">
        <f t="shared" si="4"/>
        <v>0</v>
      </c>
      <c r="Q25" s="54">
        <f>IF($I25=Konfiguration!$B$37,Erfassung[[#This Row],[Betrag CHF]],IF($I25="",Erfassung[[#This Row],[Betrag CHF]],0))</f>
        <v>0</v>
      </c>
      <c r="R25" s="54">
        <f>IF($I25=Konfiguration!$B$38,Erfassung[[#This Row],[Betrag CHF]],0)</f>
        <v>0</v>
      </c>
      <c r="S25" s="54">
        <f>IF($I25=Konfiguration!$B$39,Erfassung[[#This Row],[Betrag CHF]],0)</f>
        <v>0</v>
      </c>
      <c r="T25" s="54">
        <f>IF($I25=Konfiguration!$B$40,Erfassung[[#This Row],[Betrag CHF]],0)</f>
        <v>0</v>
      </c>
      <c r="U25" s="54">
        <f>IF($I25=Konfiguration!$B$41,Erfassung[[#This Row],[Betrag CHF]],0)</f>
        <v>0</v>
      </c>
      <c r="V25" s="54">
        <f>IF($I25=Konfiguration!$B$42,Erfassung[[#This Row],[Betrag CHF]],0)</f>
        <v>0</v>
      </c>
      <c r="W25" s="11"/>
      <c r="X25" s="11"/>
      <c r="Y25" s="11"/>
    </row>
    <row r="26" spans="1:25" s="5" customFormat="1" ht="10.5" x14ac:dyDescent="0.15">
      <c r="A26" s="38">
        <f t="shared" si="0"/>
        <v>18</v>
      </c>
      <c r="B26" s="27"/>
      <c r="C26" s="16"/>
      <c r="D26" s="16"/>
      <c r="E26" s="44"/>
      <c r="F26" s="35"/>
      <c r="G26" s="35"/>
      <c r="H26" s="16"/>
      <c r="I26" s="35"/>
      <c r="J26" s="43">
        <f t="shared" si="1"/>
        <v>0</v>
      </c>
      <c r="K26" s="43">
        <f t="shared" si="2"/>
        <v>0</v>
      </c>
      <c r="L26" s="43">
        <f t="shared" si="3"/>
        <v>0</v>
      </c>
      <c r="M26" s="43">
        <f>IF(LEFT(Erfassung[[#This Row],[MWST-Code]],3)="VSM",Erfassung[[#This Row],[Steuer-Betrag CHF]],0)</f>
        <v>0</v>
      </c>
      <c r="N26" s="58">
        <f>IF(LEFT(Erfassung[[#This Row],[MWST-Code]],3)="VSB",Erfassung[[#This Row],[Steuer-Betrag CHF]],0)</f>
        <v>0</v>
      </c>
      <c r="O26" s="54">
        <f>VLOOKUP(IF(I26="","ohne",I26),Konfiguration!$B$37:$C$42,2,FALSE)</f>
        <v>0</v>
      </c>
      <c r="P26" s="54">
        <f t="shared" si="4"/>
        <v>0</v>
      </c>
      <c r="Q26" s="54">
        <f>IF($I26=Konfiguration!$B$37,Erfassung[[#This Row],[Betrag CHF]],IF($I26="",Erfassung[[#This Row],[Betrag CHF]],0))</f>
        <v>0</v>
      </c>
      <c r="R26" s="54">
        <f>IF($I26=Konfiguration!$B$38,Erfassung[[#This Row],[Betrag CHF]],0)</f>
        <v>0</v>
      </c>
      <c r="S26" s="54">
        <f>IF($I26=Konfiguration!$B$39,Erfassung[[#This Row],[Betrag CHF]],0)</f>
        <v>0</v>
      </c>
      <c r="T26" s="54">
        <f>IF($I26=Konfiguration!$B$40,Erfassung[[#This Row],[Betrag CHF]],0)</f>
        <v>0</v>
      </c>
      <c r="U26" s="54">
        <f>IF($I26=Konfiguration!$B$41,Erfassung[[#This Row],[Betrag CHF]],0)</f>
        <v>0</v>
      </c>
      <c r="V26" s="54">
        <f>IF($I26=Konfiguration!$B$42,Erfassung[[#This Row],[Betrag CHF]],0)</f>
        <v>0</v>
      </c>
      <c r="W26" s="11"/>
      <c r="X26" s="11"/>
      <c r="Y26" s="11"/>
    </row>
    <row r="27" spans="1:25" s="5" customFormat="1" ht="10.5" x14ac:dyDescent="0.15">
      <c r="A27" s="39">
        <f t="shared" ref="A27:A33" si="5" xml:space="preserve"> ROW()-8</f>
        <v>19</v>
      </c>
      <c r="B27" s="26"/>
      <c r="C27" s="15"/>
      <c r="D27" s="15"/>
      <c r="E27" s="41"/>
      <c r="F27" s="34"/>
      <c r="G27" s="34"/>
      <c r="H27" s="15"/>
      <c r="I27" s="34"/>
      <c r="J27" s="42">
        <f t="shared" ref="J27:J33" si="6">IF(F27="",IF(Rundung,ROUND(E27/5,2)*5,E27),IF(Rundung, ROUND(E27*G27/5,2)*5,E27*G27))</f>
        <v>0</v>
      </c>
      <c r="K27" s="42">
        <f t="shared" ref="K27:K33" si="7">IF(J27&lt;&gt;0,IF(Rundung,ROUND(J27*P27/5,2)*5,J27*P27),0)</f>
        <v>0</v>
      </c>
      <c r="L27" s="42">
        <f t="shared" ref="L27:L33" si="8">J27-K27</f>
        <v>0</v>
      </c>
      <c r="M27" s="42">
        <f>IF(LEFT(Erfassung[[#This Row],[MWST-Code]],3)="VSM",Erfassung[[#This Row],[Steuer-Betrag CHF]],0)</f>
        <v>0</v>
      </c>
      <c r="N27" s="57">
        <f>IF(LEFT(Erfassung[[#This Row],[MWST-Code]],3)="VSB",Erfassung[[#This Row],[Steuer-Betrag CHF]],0)</f>
        <v>0</v>
      </c>
      <c r="O27" s="54"/>
      <c r="P27" s="54"/>
      <c r="Q27" s="54">
        <f>IF($I27=Konfiguration!$B$37,Erfassung[[#This Row],[Betrag CHF]],IF($I27="",Erfassung[[#This Row],[Betrag CHF]],0))</f>
        <v>0</v>
      </c>
      <c r="R27" s="54">
        <f>IF($I27=Konfiguration!$B$38,Erfassung[[#This Row],[Betrag CHF]],0)</f>
        <v>0</v>
      </c>
      <c r="S27" s="54">
        <f>IF($I27=Konfiguration!$B$39,Erfassung[[#This Row],[Betrag CHF]],0)</f>
        <v>0</v>
      </c>
      <c r="T27" s="54">
        <f>IF($I27=Konfiguration!$B$40,Erfassung[[#This Row],[Betrag CHF]],0)</f>
        <v>0</v>
      </c>
      <c r="U27" s="54">
        <f>IF($I27=Konfiguration!$B$41,Erfassung[[#This Row],[Betrag CHF]],0)</f>
        <v>0</v>
      </c>
      <c r="V27" s="54">
        <f>IF($I27=Konfiguration!$B$42,Erfassung[[#This Row],[Betrag CHF]],0)</f>
        <v>0</v>
      </c>
      <c r="W27" s="11"/>
      <c r="X27" s="11"/>
      <c r="Y27" s="11"/>
    </row>
    <row r="28" spans="1:25" s="5" customFormat="1" ht="10.5" x14ac:dyDescent="0.15">
      <c r="A28" s="40">
        <f t="shared" si="5"/>
        <v>20</v>
      </c>
      <c r="B28" s="27"/>
      <c r="C28" s="16"/>
      <c r="D28" s="16"/>
      <c r="E28" s="44"/>
      <c r="F28" s="35"/>
      <c r="G28" s="35"/>
      <c r="H28" s="16"/>
      <c r="I28" s="35"/>
      <c r="J28" s="43">
        <f t="shared" si="6"/>
        <v>0</v>
      </c>
      <c r="K28" s="43">
        <f t="shared" si="7"/>
        <v>0</v>
      </c>
      <c r="L28" s="43">
        <f t="shared" si="8"/>
        <v>0</v>
      </c>
      <c r="M28" s="43">
        <f>IF(LEFT(Erfassung[[#This Row],[MWST-Code]],3)="VSM",Erfassung[[#This Row],[Steuer-Betrag CHF]],0)</f>
        <v>0</v>
      </c>
      <c r="N28" s="58">
        <f>IF(LEFT(Erfassung[[#This Row],[MWST-Code]],3)="VSB",Erfassung[[#This Row],[Steuer-Betrag CHF]],0)</f>
        <v>0</v>
      </c>
      <c r="O28" s="54"/>
      <c r="P28" s="54"/>
      <c r="Q28" s="54">
        <f>IF($I28=Konfiguration!$B$37,Erfassung[[#This Row],[Betrag CHF]],IF($I28="",Erfassung[[#This Row],[Betrag CHF]],0))</f>
        <v>0</v>
      </c>
      <c r="R28" s="54">
        <f>IF($I28=Konfiguration!$B$38,Erfassung[[#This Row],[Betrag CHF]],0)</f>
        <v>0</v>
      </c>
      <c r="S28" s="54">
        <f>IF($I28=Konfiguration!$B$39,Erfassung[[#This Row],[Betrag CHF]],0)</f>
        <v>0</v>
      </c>
      <c r="T28" s="54">
        <f>IF($I28=Konfiguration!$B$40,Erfassung[[#This Row],[Betrag CHF]],0)</f>
        <v>0</v>
      </c>
      <c r="U28" s="54">
        <f>IF($I28=Konfiguration!$B$41,Erfassung[[#This Row],[Betrag CHF]],0)</f>
        <v>0</v>
      </c>
      <c r="V28" s="54">
        <f>IF($I28=Konfiguration!$B$42,Erfassung[[#This Row],[Betrag CHF]],0)</f>
        <v>0</v>
      </c>
      <c r="W28" s="11"/>
      <c r="X28" s="11"/>
      <c r="Y28" s="11"/>
    </row>
    <row r="29" spans="1:25" s="5" customFormat="1" ht="10.5" x14ac:dyDescent="0.15">
      <c r="A29" s="39">
        <f t="shared" si="5"/>
        <v>21</v>
      </c>
      <c r="B29" s="26"/>
      <c r="C29" s="15"/>
      <c r="D29" s="15"/>
      <c r="E29" s="41"/>
      <c r="F29" s="34"/>
      <c r="G29" s="34"/>
      <c r="H29" s="15"/>
      <c r="I29" s="34"/>
      <c r="J29" s="42">
        <f t="shared" si="6"/>
        <v>0</v>
      </c>
      <c r="K29" s="42">
        <f t="shared" si="7"/>
        <v>0</v>
      </c>
      <c r="L29" s="42">
        <f t="shared" si="8"/>
        <v>0</v>
      </c>
      <c r="M29" s="42">
        <f>IF(LEFT(Erfassung[[#This Row],[MWST-Code]],3)="VSM",Erfassung[[#This Row],[Steuer-Betrag CHF]],0)</f>
        <v>0</v>
      </c>
      <c r="N29" s="57">
        <f>IF(LEFT(Erfassung[[#This Row],[MWST-Code]],3)="VSB",Erfassung[[#This Row],[Steuer-Betrag CHF]],0)</f>
        <v>0</v>
      </c>
      <c r="O29" s="54"/>
      <c r="P29" s="54"/>
      <c r="Q29" s="54">
        <f>IF($I29=Konfiguration!$B$37,Erfassung[[#This Row],[Betrag CHF]],IF($I29="",Erfassung[[#This Row],[Betrag CHF]],0))</f>
        <v>0</v>
      </c>
      <c r="R29" s="54">
        <f>IF($I29=Konfiguration!$B$38,Erfassung[[#This Row],[Betrag CHF]],0)</f>
        <v>0</v>
      </c>
      <c r="S29" s="54">
        <f>IF($I29=Konfiguration!$B$39,Erfassung[[#This Row],[Betrag CHF]],0)</f>
        <v>0</v>
      </c>
      <c r="T29" s="54">
        <f>IF($I29=Konfiguration!$B$40,Erfassung[[#This Row],[Betrag CHF]],0)</f>
        <v>0</v>
      </c>
      <c r="U29" s="54">
        <f>IF($I29=Konfiguration!$B$41,Erfassung[[#This Row],[Betrag CHF]],0)</f>
        <v>0</v>
      </c>
      <c r="V29" s="54">
        <f>IF($I29=Konfiguration!$B$42,Erfassung[[#This Row],[Betrag CHF]],0)</f>
        <v>0</v>
      </c>
      <c r="W29" s="11"/>
      <c r="X29" s="11"/>
      <c r="Y29" s="11"/>
    </row>
    <row r="30" spans="1:25" s="5" customFormat="1" ht="10.5" x14ac:dyDescent="0.15">
      <c r="A30" s="40">
        <f t="shared" si="5"/>
        <v>22</v>
      </c>
      <c r="B30" s="27"/>
      <c r="C30" s="16"/>
      <c r="D30" s="16"/>
      <c r="E30" s="44"/>
      <c r="F30" s="35"/>
      <c r="G30" s="35"/>
      <c r="H30" s="16"/>
      <c r="I30" s="35"/>
      <c r="J30" s="43">
        <f t="shared" si="6"/>
        <v>0</v>
      </c>
      <c r="K30" s="43">
        <f t="shared" si="7"/>
        <v>0</v>
      </c>
      <c r="L30" s="43">
        <f t="shared" si="8"/>
        <v>0</v>
      </c>
      <c r="M30" s="43">
        <f>IF(LEFT(Erfassung[[#This Row],[MWST-Code]],3)="VSM",Erfassung[[#This Row],[Steuer-Betrag CHF]],0)</f>
        <v>0</v>
      </c>
      <c r="N30" s="58">
        <f>IF(LEFT(Erfassung[[#This Row],[MWST-Code]],3)="VSB",Erfassung[[#This Row],[Steuer-Betrag CHF]],0)</f>
        <v>0</v>
      </c>
      <c r="O30" s="54"/>
      <c r="P30" s="54"/>
      <c r="Q30" s="54">
        <f>IF($I30=Konfiguration!$B$37,Erfassung[[#This Row],[Betrag CHF]],IF($I30="",Erfassung[[#This Row],[Betrag CHF]],0))</f>
        <v>0</v>
      </c>
      <c r="R30" s="54">
        <f>IF($I30=Konfiguration!$B$38,Erfassung[[#This Row],[Betrag CHF]],0)</f>
        <v>0</v>
      </c>
      <c r="S30" s="54">
        <f>IF($I30=Konfiguration!$B$39,Erfassung[[#This Row],[Betrag CHF]],0)</f>
        <v>0</v>
      </c>
      <c r="T30" s="54">
        <f>IF($I30=Konfiguration!$B$40,Erfassung[[#This Row],[Betrag CHF]],0)</f>
        <v>0</v>
      </c>
      <c r="U30" s="54">
        <f>IF($I30=Konfiguration!$B$41,Erfassung[[#This Row],[Betrag CHF]],0)</f>
        <v>0</v>
      </c>
      <c r="V30" s="54">
        <f>IF($I30=Konfiguration!$B$42,Erfassung[[#This Row],[Betrag CHF]],0)</f>
        <v>0</v>
      </c>
      <c r="W30" s="11"/>
      <c r="X30" s="11"/>
      <c r="Y30" s="11"/>
    </row>
    <row r="31" spans="1:25" s="5" customFormat="1" ht="10.5" x14ac:dyDescent="0.15">
      <c r="A31" s="39">
        <f t="shared" si="5"/>
        <v>23</v>
      </c>
      <c r="B31" s="26"/>
      <c r="C31" s="15"/>
      <c r="D31" s="15"/>
      <c r="E31" s="41"/>
      <c r="F31" s="34"/>
      <c r="G31" s="34"/>
      <c r="H31" s="15"/>
      <c r="I31" s="34"/>
      <c r="J31" s="42">
        <f t="shared" si="6"/>
        <v>0</v>
      </c>
      <c r="K31" s="42">
        <f t="shared" si="7"/>
        <v>0</v>
      </c>
      <c r="L31" s="42">
        <f t="shared" si="8"/>
        <v>0</v>
      </c>
      <c r="M31" s="42">
        <f>IF(LEFT(Erfassung[[#This Row],[MWST-Code]],3)="VSM",Erfassung[[#This Row],[Steuer-Betrag CHF]],0)</f>
        <v>0</v>
      </c>
      <c r="N31" s="57">
        <f>IF(LEFT(Erfassung[[#This Row],[MWST-Code]],3)="VSB",Erfassung[[#This Row],[Steuer-Betrag CHF]],0)</f>
        <v>0</v>
      </c>
      <c r="O31" s="54"/>
      <c r="P31" s="54"/>
      <c r="Q31" s="54">
        <f>IF($I31=Konfiguration!$B$37,Erfassung[[#This Row],[Betrag CHF]],IF($I31="",Erfassung[[#This Row],[Betrag CHF]],0))</f>
        <v>0</v>
      </c>
      <c r="R31" s="54">
        <f>IF($I31=Konfiguration!$B$38,Erfassung[[#This Row],[Betrag CHF]],0)</f>
        <v>0</v>
      </c>
      <c r="S31" s="54">
        <f>IF($I31=Konfiguration!$B$39,Erfassung[[#This Row],[Betrag CHF]],0)</f>
        <v>0</v>
      </c>
      <c r="T31" s="54">
        <f>IF($I31=Konfiguration!$B$40,Erfassung[[#This Row],[Betrag CHF]],0)</f>
        <v>0</v>
      </c>
      <c r="U31" s="54">
        <f>IF($I31=Konfiguration!$B$41,Erfassung[[#This Row],[Betrag CHF]],0)</f>
        <v>0</v>
      </c>
      <c r="V31" s="54">
        <f>IF($I31=Konfiguration!$B$42,Erfassung[[#This Row],[Betrag CHF]],0)</f>
        <v>0</v>
      </c>
      <c r="W31" s="11"/>
      <c r="X31" s="11"/>
      <c r="Y31" s="11"/>
    </row>
    <row r="32" spans="1:25" s="5" customFormat="1" ht="10.5" x14ac:dyDescent="0.15">
      <c r="A32" s="40">
        <f t="shared" si="5"/>
        <v>24</v>
      </c>
      <c r="B32" s="27"/>
      <c r="C32" s="16"/>
      <c r="D32" s="16"/>
      <c r="E32" s="44"/>
      <c r="F32" s="35"/>
      <c r="G32" s="35"/>
      <c r="H32" s="16"/>
      <c r="I32" s="35"/>
      <c r="J32" s="43">
        <f t="shared" si="6"/>
        <v>0</v>
      </c>
      <c r="K32" s="43">
        <f t="shared" si="7"/>
        <v>0</v>
      </c>
      <c r="L32" s="43">
        <f t="shared" si="8"/>
        <v>0</v>
      </c>
      <c r="M32" s="43">
        <f>IF(LEFT(Erfassung[[#This Row],[MWST-Code]],3)="VSM",Erfassung[[#This Row],[Steuer-Betrag CHF]],0)</f>
        <v>0</v>
      </c>
      <c r="N32" s="58">
        <f>IF(LEFT(Erfassung[[#This Row],[MWST-Code]],3)="VSB",Erfassung[[#This Row],[Steuer-Betrag CHF]],0)</f>
        <v>0</v>
      </c>
      <c r="O32" s="54"/>
      <c r="P32" s="54"/>
      <c r="Q32" s="54">
        <f>IF($I32=Konfiguration!$B$37,Erfassung[[#This Row],[Betrag CHF]],IF($I32="",Erfassung[[#This Row],[Betrag CHF]],0))</f>
        <v>0</v>
      </c>
      <c r="R32" s="54">
        <f>IF($I32=Konfiguration!$B$38,Erfassung[[#This Row],[Betrag CHF]],0)</f>
        <v>0</v>
      </c>
      <c r="S32" s="54">
        <f>IF($I32=Konfiguration!$B$39,Erfassung[[#This Row],[Betrag CHF]],0)</f>
        <v>0</v>
      </c>
      <c r="T32" s="54">
        <f>IF($I32=Konfiguration!$B$40,Erfassung[[#This Row],[Betrag CHF]],0)</f>
        <v>0</v>
      </c>
      <c r="U32" s="54">
        <f>IF($I32=Konfiguration!$B$41,Erfassung[[#This Row],[Betrag CHF]],0)</f>
        <v>0</v>
      </c>
      <c r="V32" s="54">
        <f>IF($I32=Konfiguration!$B$42,Erfassung[[#This Row],[Betrag CHF]],0)</f>
        <v>0</v>
      </c>
      <c r="W32" s="11"/>
      <c r="X32" s="11"/>
      <c r="Y32" s="11"/>
    </row>
    <row r="33" spans="1:25" s="5" customFormat="1" ht="10.5" x14ac:dyDescent="0.15">
      <c r="A33" s="39">
        <f t="shared" si="5"/>
        <v>25</v>
      </c>
      <c r="B33" s="26"/>
      <c r="C33" s="15"/>
      <c r="D33" s="15"/>
      <c r="E33" s="41"/>
      <c r="F33" s="34"/>
      <c r="G33" s="34"/>
      <c r="H33" s="15"/>
      <c r="I33" s="34"/>
      <c r="J33" s="42">
        <f t="shared" si="6"/>
        <v>0</v>
      </c>
      <c r="K33" s="42">
        <f t="shared" si="7"/>
        <v>0</v>
      </c>
      <c r="L33" s="42">
        <f t="shared" si="8"/>
        <v>0</v>
      </c>
      <c r="M33" s="42">
        <f>IF(LEFT(Erfassung[[#This Row],[MWST-Code]],3)="VSM",Erfassung[[#This Row],[Steuer-Betrag CHF]],0)</f>
        <v>0</v>
      </c>
      <c r="N33" s="57">
        <f>IF(LEFT(Erfassung[[#This Row],[MWST-Code]],3)="VSB",Erfassung[[#This Row],[Steuer-Betrag CHF]],0)</f>
        <v>0</v>
      </c>
      <c r="O33" s="54"/>
      <c r="P33" s="54"/>
      <c r="Q33" s="54">
        <f>IF($I33=Konfiguration!$B$37,Erfassung[[#This Row],[Betrag CHF]],IF($I33="",Erfassung[[#This Row],[Betrag CHF]],0))</f>
        <v>0</v>
      </c>
      <c r="R33" s="54">
        <f>IF($I33=Konfiguration!$B$38,Erfassung[[#This Row],[Betrag CHF]],0)</f>
        <v>0</v>
      </c>
      <c r="S33" s="54">
        <f>IF($I33=Konfiguration!$B$39,Erfassung[[#This Row],[Betrag CHF]],0)</f>
        <v>0</v>
      </c>
      <c r="T33" s="54">
        <f>IF($I33=Konfiguration!$B$40,Erfassung[[#This Row],[Betrag CHF]],0)</f>
        <v>0</v>
      </c>
      <c r="U33" s="54">
        <f>IF($I33=Konfiguration!$B$41,Erfassung[[#This Row],[Betrag CHF]],0)</f>
        <v>0</v>
      </c>
      <c r="V33" s="54">
        <f>IF($I33=Konfiguration!$B$42,Erfassung[[#This Row],[Betrag CHF]],0)</f>
        <v>0</v>
      </c>
      <c r="W33" s="11"/>
      <c r="X33" s="11"/>
      <c r="Y33" s="11"/>
    </row>
    <row r="34" spans="1:25" s="5" customFormat="1" ht="10.5" x14ac:dyDescent="0.15">
      <c r="A34" s="38">
        <f t="shared" si="0"/>
        <v>26</v>
      </c>
      <c r="B34" s="27"/>
      <c r="C34" s="16"/>
      <c r="D34" s="16"/>
      <c r="E34" s="44"/>
      <c r="F34" s="35"/>
      <c r="G34" s="35"/>
      <c r="H34" s="16"/>
      <c r="I34" s="35"/>
      <c r="J34" s="43">
        <f t="shared" si="1"/>
        <v>0</v>
      </c>
      <c r="K34" s="43">
        <f t="shared" si="2"/>
        <v>0</v>
      </c>
      <c r="L34" s="43">
        <f t="shared" si="3"/>
        <v>0</v>
      </c>
      <c r="M34" s="43">
        <f>IF(LEFT(Erfassung[[#This Row],[MWST-Code]],3)="VSM",Erfassung[[#This Row],[Steuer-Betrag CHF]],0)</f>
        <v>0</v>
      </c>
      <c r="N34" s="58">
        <f>IF(LEFT(Erfassung[[#This Row],[MWST-Code]],3)="VSB",Erfassung[[#This Row],[Steuer-Betrag CHF]],0)</f>
        <v>0</v>
      </c>
      <c r="O34" s="54">
        <f>VLOOKUP(IF(I34="","ohne",I34),Konfiguration!$B$37:$C$42,2,FALSE)</f>
        <v>0</v>
      </c>
      <c r="P34" s="54">
        <f t="shared" si="4"/>
        <v>0</v>
      </c>
      <c r="Q34" s="54">
        <f>IF($I34=Konfiguration!$B$37,Erfassung[[#This Row],[Betrag CHF]],IF($I34="",Erfassung[[#This Row],[Betrag CHF]],0))</f>
        <v>0</v>
      </c>
      <c r="R34" s="54">
        <f>IF($I34=Konfiguration!$B$38,Erfassung[[#This Row],[Betrag CHF]],0)</f>
        <v>0</v>
      </c>
      <c r="S34" s="54">
        <f>IF($I34=Konfiguration!$B$39,Erfassung[[#This Row],[Betrag CHF]],0)</f>
        <v>0</v>
      </c>
      <c r="T34" s="54">
        <f>IF($I34=Konfiguration!$B$40,Erfassung[[#This Row],[Betrag CHF]],0)</f>
        <v>0</v>
      </c>
      <c r="U34" s="54">
        <f>IF($I34=Konfiguration!$B$41,Erfassung[[#This Row],[Betrag CHF]],0)</f>
        <v>0</v>
      </c>
      <c r="V34" s="54">
        <f>IF($I34=Konfiguration!$B$42,Erfassung[[#This Row],[Betrag CHF]],0)</f>
        <v>0</v>
      </c>
      <c r="W34" s="11"/>
      <c r="X34" s="11"/>
      <c r="Y34" s="11"/>
    </row>
    <row r="35" spans="1:25" s="5" customFormat="1" ht="10.5" x14ac:dyDescent="0.15">
      <c r="A35" s="37">
        <f t="shared" si="0"/>
        <v>27</v>
      </c>
      <c r="B35" s="30"/>
      <c r="C35" s="15"/>
      <c r="D35" s="15"/>
      <c r="E35" s="41"/>
      <c r="F35" s="34"/>
      <c r="G35" s="34"/>
      <c r="H35" s="15"/>
      <c r="I35" s="34"/>
      <c r="J35" s="42">
        <f t="shared" si="1"/>
        <v>0</v>
      </c>
      <c r="K35" s="42">
        <f t="shared" si="2"/>
        <v>0</v>
      </c>
      <c r="L35" s="42">
        <f t="shared" si="3"/>
        <v>0</v>
      </c>
      <c r="M35" s="42">
        <f>IF(LEFT(Erfassung[[#This Row],[MWST-Code]],3)="VSM",Erfassung[[#This Row],[Steuer-Betrag CHF]],0)</f>
        <v>0</v>
      </c>
      <c r="N35" s="57">
        <f>IF(LEFT(Erfassung[[#This Row],[MWST-Code]],3)="VSB",Erfassung[[#This Row],[Steuer-Betrag CHF]],0)</f>
        <v>0</v>
      </c>
      <c r="O35" s="54">
        <f>VLOOKUP(IF(I35="","ohne",I35),Konfiguration!$B$37:$C$42,2,FALSE)</f>
        <v>0</v>
      </c>
      <c r="P35" s="54">
        <f t="shared" si="4"/>
        <v>0</v>
      </c>
      <c r="Q35" s="54">
        <f>IF($I35=Konfiguration!$B$37,Erfassung[[#This Row],[Betrag CHF]],IF($I35="",Erfassung[[#This Row],[Betrag CHF]],0))</f>
        <v>0</v>
      </c>
      <c r="R35" s="54">
        <f>IF($I35=Konfiguration!$B$38,Erfassung[[#This Row],[Betrag CHF]],0)</f>
        <v>0</v>
      </c>
      <c r="S35" s="54">
        <f>IF($I35=Konfiguration!$B$39,Erfassung[[#This Row],[Betrag CHF]],0)</f>
        <v>0</v>
      </c>
      <c r="T35" s="54">
        <f>IF($I35=Konfiguration!$B$40,Erfassung[[#This Row],[Betrag CHF]],0)</f>
        <v>0</v>
      </c>
      <c r="U35" s="54">
        <f>IF($I35=Konfiguration!$B$41,Erfassung[[#This Row],[Betrag CHF]],0)</f>
        <v>0</v>
      </c>
      <c r="V35" s="54">
        <f>IF($I35=Konfiguration!$B$42,Erfassung[[#This Row],[Betrag CHF]],0)</f>
        <v>0</v>
      </c>
      <c r="W35" s="11"/>
      <c r="X35" s="11"/>
      <c r="Y35" s="11"/>
    </row>
    <row r="36" spans="1:25" s="5" customFormat="1" ht="10.5" x14ac:dyDescent="0.15">
      <c r="A36" s="38">
        <f t="shared" si="0"/>
        <v>28</v>
      </c>
      <c r="B36" s="27"/>
      <c r="C36" s="16"/>
      <c r="D36" s="16"/>
      <c r="E36" s="44"/>
      <c r="F36" s="35"/>
      <c r="G36" s="35"/>
      <c r="H36" s="16"/>
      <c r="I36" s="35"/>
      <c r="J36" s="43">
        <f t="shared" si="1"/>
        <v>0</v>
      </c>
      <c r="K36" s="43">
        <f t="shared" si="2"/>
        <v>0</v>
      </c>
      <c r="L36" s="43">
        <f t="shared" si="3"/>
        <v>0</v>
      </c>
      <c r="M36" s="43">
        <f>IF(LEFT(Erfassung[[#This Row],[MWST-Code]],3)="VSM",Erfassung[[#This Row],[Steuer-Betrag CHF]],0)</f>
        <v>0</v>
      </c>
      <c r="N36" s="58">
        <f>IF(LEFT(Erfassung[[#This Row],[MWST-Code]],3)="VSB",Erfassung[[#This Row],[Steuer-Betrag CHF]],0)</f>
        <v>0</v>
      </c>
      <c r="O36" s="54">
        <f>VLOOKUP(IF(I36="","ohne",I36),Konfiguration!$B$37:$C$42,2,FALSE)</f>
        <v>0</v>
      </c>
      <c r="P36" s="54">
        <f t="shared" si="4"/>
        <v>0</v>
      </c>
      <c r="Q36" s="54">
        <f>IF($I36=Konfiguration!$B$37,Erfassung[[#This Row],[Betrag CHF]],IF($I36="",Erfassung[[#This Row],[Betrag CHF]],0))</f>
        <v>0</v>
      </c>
      <c r="R36" s="54">
        <f>IF($I36=Konfiguration!$B$38,Erfassung[[#This Row],[Betrag CHF]],0)</f>
        <v>0</v>
      </c>
      <c r="S36" s="54">
        <f>IF($I36=Konfiguration!$B$39,Erfassung[[#This Row],[Betrag CHF]],0)</f>
        <v>0</v>
      </c>
      <c r="T36" s="54">
        <f>IF($I36=Konfiguration!$B$40,Erfassung[[#This Row],[Betrag CHF]],0)</f>
        <v>0</v>
      </c>
      <c r="U36" s="54">
        <f>IF($I36=Konfiguration!$B$41,Erfassung[[#This Row],[Betrag CHF]],0)</f>
        <v>0</v>
      </c>
      <c r="V36" s="54">
        <f>IF($I36=Konfiguration!$B$42,Erfassung[[#This Row],[Betrag CHF]],0)</f>
        <v>0</v>
      </c>
      <c r="W36" s="11"/>
      <c r="X36" s="11"/>
      <c r="Y36" s="11"/>
    </row>
    <row r="37" spans="1:25" s="5" customFormat="1" ht="10.5" x14ac:dyDescent="0.15">
      <c r="A37" s="37">
        <f t="shared" si="0"/>
        <v>29</v>
      </c>
      <c r="B37" s="26"/>
      <c r="C37" s="15"/>
      <c r="D37" s="15"/>
      <c r="E37" s="41"/>
      <c r="F37" s="34"/>
      <c r="G37" s="34"/>
      <c r="H37" s="15"/>
      <c r="I37" s="34"/>
      <c r="J37" s="42">
        <f t="shared" si="1"/>
        <v>0</v>
      </c>
      <c r="K37" s="42">
        <f t="shared" si="2"/>
        <v>0</v>
      </c>
      <c r="L37" s="42">
        <f t="shared" si="3"/>
        <v>0</v>
      </c>
      <c r="M37" s="42">
        <f>IF(LEFT(Erfassung[[#This Row],[MWST-Code]],3)="VSM",Erfassung[[#This Row],[Steuer-Betrag CHF]],0)</f>
        <v>0</v>
      </c>
      <c r="N37" s="57">
        <f>IF(LEFT(Erfassung[[#This Row],[MWST-Code]],3)="VSB",Erfassung[[#This Row],[Steuer-Betrag CHF]],0)</f>
        <v>0</v>
      </c>
      <c r="O37" s="54">
        <f>VLOOKUP(IF(I37="","ohne",I37),Konfiguration!$B$37:$C$42,2,FALSE)</f>
        <v>0</v>
      </c>
      <c r="P37" s="54">
        <f t="shared" si="4"/>
        <v>0</v>
      </c>
      <c r="Q37" s="54">
        <f>IF($I37=Konfiguration!$B$37,Erfassung[[#This Row],[Betrag CHF]],IF($I37="",Erfassung[[#This Row],[Betrag CHF]],0))</f>
        <v>0</v>
      </c>
      <c r="R37" s="54">
        <f>IF($I37=Konfiguration!$B$38,Erfassung[[#This Row],[Betrag CHF]],0)</f>
        <v>0</v>
      </c>
      <c r="S37" s="54">
        <f>IF($I37=Konfiguration!$B$39,Erfassung[[#This Row],[Betrag CHF]],0)</f>
        <v>0</v>
      </c>
      <c r="T37" s="54">
        <f>IF($I37=Konfiguration!$B$40,Erfassung[[#This Row],[Betrag CHF]],0)</f>
        <v>0</v>
      </c>
      <c r="U37" s="54">
        <f>IF($I37=Konfiguration!$B$41,Erfassung[[#This Row],[Betrag CHF]],0)</f>
        <v>0</v>
      </c>
      <c r="V37" s="54">
        <f>IF($I37=Konfiguration!$B$42,Erfassung[[#This Row],[Betrag CHF]],0)</f>
        <v>0</v>
      </c>
      <c r="W37" s="11"/>
      <c r="X37" s="11"/>
      <c r="Y37" s="11"/>
    </row>
    <row r="38" spans="1:25" s="5" customFormat="1" ht="10.5" x14ac:dyDescent="0.15">
      <c r="A38" s="38">
        <f t="shared" si="0"/>
        <v>30</v>
      </c>
      <c r="B38" s="27"/>
      <c r="C38" s="16"/>
      <c r="D38" s="16"/>
      <c r="E38" s="44"/>
      <c r="F38" s="35"/>
      <c r="G38" s="35"/>
      <c r="H38" s="16"/>
      <c r="I38" s="35"/>
      <c r="J38" s="43">
        <f t="shared" si="1"/>
        <v>0</v>
      </c>
      <c r="K38" s="43">
        <f t="shared" si="2"/>
        <v>0</v>
      </c>
      <c r="L38" s="43">
        <f t="shared" si="3"/>
        <v>0</v>
      </c>
      <c r="M38" s="43">
        <f>IF(LEFT(Erfassung[[#This Row],[MWST-Code]],3)="VSM",Erfassung[[#This Row],[Steuer-Betrag CHF]],0)</f>
        <v>0</v>
      </c>
      <c r="N38" s="58">
        <f>IF(LEFT(Erfassung[[#This Row],[MWST-Code]],3)="VSB",Erfassung[[#This Row],[Steuer-Betrag CHF]],0)</f>
        <v>0</v>
      </c>
      <c r="O38" s="54">
        <f>VLOOKUP(IF(I38="","ohne",I38),Konfiguration!$B$37:$C$42,2,FALSE)</f>
        <v>0</v>
      </c>
      <c r="P38" s="54">
        <f t="shared" si="4"/>
        <v>0</v>
      </c>
      <c r="Q38" s="54">
        <f>IF($I38=Konfiguration!$B$37,Erfassung[[#This Row],[Betrag CHF]],IF($I38="",Erfassung[[#This Row],[Betrag CHF]],0))</f>
        <v>0</v>
      </c>
      <c r="R38" s="54">
        <f>IF($I38=Konfiguration!$B$38,Erfassung[[#This Row],[Betrag CHF]],0)</f>
        <v>0</v>
      </c>
      <c r="S38" s="54">
        <f>IF($I38=Konfiguration!$B$39,Erfassung[[#This Row],[Betrag CHF]],0)</f>
        <v>0</v>
      </c>
      <c r="T38" s="54">
        <f>IF($I38=Konfiguration!$B$40,Erfassung[[#This Row],[Betrag CHF]],0)</f>
        <v>0</v>
      </c>
      <c r="U38" s="54">
        <f>IF($I38=Konfiguration!$B$41,Erfassung[[#This Row],[Betrag CHF]],0)</f>
        <v>0</v>
      </c>
      <c r="V38" s="54">
        <f>IF($I38=Konfiguration!$B$42,Erfassung[[#This Row],[Betrag CHF]],0)</f>
        <v>0</v>
      </c>
      <c r="W38" s="11"/>
      <c r="X38" s="11"/>
      <c r="Y38" s="11"/>
    </row>
    <row r="39" spans="1:25" s="5" customFormat="1" ht="10.5" x14ac:dyDescent="0.15">
      <c r="A39" s="37">
        <f t="shared" si="0"/>
        <v>31</v>
      </c>
      <c r="B39" s="26"/>
      <c r="C39" s="15"/>
      <c r="D39" s="15"/>
      <c r="E39" s="41"/>
      <c r="F39" s="34"/>
      <c r="G39" s="34"/>
      <c r="H39" s="15"/>
      <c r="I39" s="34"/>
      <c r="J39" s="42">
        <f t="shared" si="1"/>
        <v>0</v>
      </c>
      <c r="K39" s="42">
        <f t="shared" si="2"/>
        <v>0</v>
      </c>
      <c r="L39" s="42">
        <f t="shared" si="3"/>
        <v>0</v>
      </c>
      <c r="M39" s="42">
        <f>IF(LEFT(Erfassung[[#This Row],[MWST-Code]],3)="VSM",Erfassung[[#This Row],[Steuer-Betrag CHF]],0)</f>
        <v>0</v>
      </c>
      <c r="N39" s="57">
        <f>IF(LEFT(Erfassung[[#This Row],[MWST-Code]],3)="VSB",Erfassung[[#This Row],[Steuer-Betrag CHF]],0)</f>
        <v>0</v>
      </c>
      <c r="O39" s="54">
        <f>VLOOKUP(IF(I39="","ohne",I39),Konfiguration!$B$37:$C$42,2,FALSE)</f>
        <v>0</v>
      </c>
      <c r="P39" s="54">
        <f t="shared" si="4"/>
        <v>0</v>
      </c>
      <c r="Q39" s="54">
        <f>IF($I39=Konfiguration!$B$37,Erfassung[[#This Row],[Betrag CHF]],IF($I39="",Erfassung[[#This Row],[Betrag CHF]],0))</f>
        <v>0</v>
      </c>
      <c r="R39" s="54">
        <f>IF($I39=Konfiguration!$B$38,Erfassung[[#This Row],[Betrag CHF]],0)</f>
        <v>0</v>
      </c>
      <c r="S39" s="54">
        <f>IF($I39=Konfiguration!$B$39,Erfassung[[#This Row],[Betrag CHF]],0)</f>
        <v>0</v>
      </c>
      <c r="T39" s="54">
        <f>IF($I39=Konfiguration!$B$40,Erfassung[[#This Row],[Betrag CHF]],0)</f>
        <v>0</v>
      </c>
      <c r="U39" s="54">
        <f>IF($I39=Konfiguration!$B$41,Erfassung[[#This Row],[Betrag CHF]],0)</f>
        <v>0</v>
      </c>
      <c r="V39" s="54">
        <f>IF($I39=Konfiguration!$B$42,Erfassung[[#This Row],[Betrag CHF]],0)</f>
        <v>0</v>
      </c>
      <c r="W39" s="11"/>
      <c r="X39" s="11"/>
      <c r="Y39" s="11"/>
    </row>
    <row r="40" spans="1:25" s="5" customFormat="1" ht="10.5" x14ac:dyDescent="0.15">
      <c r="A40" s="40">
        <f t="shared" ref="A40:A70" si="9" xml:space="preserve"> ROW()-8</f>
        <v>32</v>
      </c>
      <c r="B40" s="27"/>
      <c r="C40" s="16"/>
      <c r="D40" s="16"/>
      <c r="E40" s="44"/>
      <c r="F40" s="35"/>
      <c r="G40" s="35"/>
      <c r="H40" s="16"/>
      <c r="I40" s="35"/>
      <c r="J40" s="43">
        <f t="shared" ref="J40:J73" si="10">IF(F40="",IF(Rundung,ROUND(E40/5,2)*5,E40),IF(Rundung, ROUND(E40*G40/5,2)*5,E40*G40))</f>
        <v>0</v>
      </c>
      <c r="K40" s="43">
        <f t="shared" ref="K40:K73" si="11">IF(J40&lt;&gt;0,IF(Rundung,ROUND(J40*P40/5,2)*5,J40*P40),0)</f>
        <v>0</v>
      </c>
      <c r="L40" s="43">
        <f t="shared" ref="L40:L70" si="12">J40-K40</f>
        <v>0</v>
      </c>
      <c r="M40" s="43">
        <f>IF(LEFT(Erfassung[[#This Row],[MWST-Code]],3)="VSM",Erfassung[[#This Row],[Steuer-Betrag CHF]],0)</f>
        <v>0</v>
      </c>
      <c r="N40" s="58">
        <f>IF(LEFT(Erfassung[[#This Row],[MWST-Code]],3)="VSB",Erfassung[[#This Row],[Steuer-Betrag CHF]],0)</f>
        <v>0</v>
      </c>
      <c r="O40" s="54"/>
      <c r="P40" s="54"/>
      <c r="Q40" s="54">
        <f>IF($I40=Konfiguration!$B$37,Erfassung[[#This Row],[Betrag CHF]],IF($I40="",Erfassung[[#This Row],[Betrag CHF]],0))</f>
        <v>0</v>
      </c>
      <c r="R40" s="54">
        <f>IF($I40=Konfiguration!$B$38,Erfassung[[#This Row],[Betrag CHF]],0)</f>
        <v>0</v>
      </c>
      <c r="S40" s="54">
        <f>IF($I40=Konfiguration!$B$39,Erfassung[[#This Row],[Betrag CHF]],0)</f>
        <v>0</v>
      </c>
      <c r="T40" s="54">
        <f>IF($I40=Konfiguration!$B$40,Erfassung[[#This Row],[Betrag CHF]],0)</f>
        <v>0</v>
      </c>
      <c r="U40" s="54">
        <f>IF($I40=Konfiguration!$B$41,Erfassung[[#This Row],[Betrag CHF]],0)</f>
        <v>0</v>
      </c>
      <c r="V40" s="54">
        <f>IF($I40=Konfiguration!$B$42,Erfassung[[#This Row],[Betrag CHF]],0)</f>
        <v>0</v>
      </c>
      <c r="W40" s="11"/>
      <c r="X40" s="11"/>
      <c r="Y40" s="11"/>
    </row>
    <row r="41" spans="1:25" s="5" customFormat="1" ht="10.5" x14ac:dyDescent="0.15">
      <c r="A41" s="39">
        <f t="shared" si="9"/>
        <v>33</v>
      </c>
      <c r="B41" s="26"/>
      <c r="C41" s="15"/>
      <c r="D41" s="15"/>
      <c r="E41" s="41"/>
      <c r="F41" s="34"/>
      <c r="G41" s="34"/>
      <c r="H41" s="15"/>
      <c r="I41" s="34"/>
      <c r="J41" s="42">
        <f t="shared" si="10"/>
        <v>0</v>
      </c>
      <c r="K41" s="42">
        <f t="shared" si="11"/>
        <v>0</v>
      </c>
      <c r="L41" s="42">
        <f t="shared" si="12"/>
        <v>0</v>
      </c>
      <c r="M41" s="42">
        <f>IF(LEFT(Erfassung[[#This Row],[MWST-Code]],3)="VSM",Erfassung[[#This Row],[Steuer-Betrag CHF]],0)</f>
        <v>0</v>
      </c>
      <c r="N41" s="57">
        <f>IF(LEFT(Erfassung[[#This Row],[MWST-Code]],3)="VSB",Erfassung[[#This Row],[Steuer-Betrag CHF]],0)</f>
        <v>0</v>
      </c>
      <c r="O41" s="54"/>
      <c r="P41" s="54"/>
      <c r="Q41" s="54">
        <f>IF($I41=Konfiguration!$B$37,Erfassung[[#This Row],[Betrag CHF]],IF($I41="",Erfassung[[#This Row],[Betrag CHF]],0))</f>
        <v>0</v>
      </c>
      <c r="R41" s="54">
        <f>IF($I41=Konfiguration!$B$38,Erfassung[[#This Row],[Betrag CHF]],0)</f>
        <v>0</v>
      </c>
      <c r="S41" s="54">
        <f>IF($I41=Konfiguration!$B$39,Erfassung[[#This Row],[Betrag CHF]],0)</f>
        <v>0</v>
      </c>
      <c r="T41" s="54">
        <f>IF($I41=Konfiguration!$B$40,Erfassung[[#This Row],[Betrag CHF]],0)</f>
        <v>0</v>
      </c>
      <c r="U41" s="54">
        <f>IF($I41=Konfiguration!$B$41,Erfassung[[#This Row],[Betrag CHF]],0)</f>
        <v>0</v>
      </c>
      <c r="V41" s="54">
        <f>IF($I41=Konfiguration!$B$42,Erfassung[[#This Row],[Betrag CHF]],0)</f>
        <v>0</v>
      </c>
      <c r="W41" s="11"/>
      <c r="X41" s="11"/>
      <c r="Y41" s="11"/>
    </row>
    <row r="42" spans="1:25" s="5" customFormat="1" ht="10.5" x14ac:dyDescent="0.15">
      <c r="A42" s="38">
        <f t="shared" si="9"/>
        <v>34</v>
      </c>
      <c r="B42" s="27"/>
      <c r="C42" s="16"/>
      <c r="D42" s="16"/>
      <c r="E42" s="44"/>
      <c r="F42" s="35"/>
      <c r="G42" s="35"/>
      <c r="H42" s="16"/>
      <c r="I42" s="35"/>
      <c r="J42" s="43">
        <f t="shared" si="10"/>
        <v>0</v>
      </c>
      <c r="K42" s="43">
        <f t="shared" si="11"/>
        <v>0</v>
      </c>
      <c r="L42" s="43">
        <f t="shared" si="12"/>
        <v>0</v>
      </c>
      <c r="M42" s="43">
        <f>IF(LEFT(Erfassung[[#This Row],[MWST-Code]],3)="VSM",Erfassung[[#This Row],[Steuer-Betrag CHF]],0)</f>
        <v>0</v>
      </c>
      <c r="N42" s="58">
        <f>IF(LEFT(Erfassung[[#This Row],[MWST-Code]],3)="VSB",Erfassung[[#This Row],[Steuer-Betrag CHF]],0)</f>
        <v>0</v>
      </c>
      <c r="O42" s="54"/>
      <c r="P42" s="54"/>
      <c r="Q42" s="54">
        <f>IF($I42=Konfiguration!$B$37,Erfassung[[#This Row],[Betrag CHF]],IF($I42="",Erfassung[[#This Row],[Betrag CHF]],0))</f>
        <v>0</v>
      </c>
      <c r="R42" s="54">
        <f>IF($I42=Konfiguration!$B$38,Erfassung[[#This Row],[Betrag CHF]],0)</f>
        <v>0</v>
      </c>
      <c r="S42" s="54">
        <f>IF($I42=Konfiguration!$B$39,Erfassung[[#This Row],[Betrag CHF]],0)</f>
        <v>0</v>
      </c>
      <c r="T42" s="54">
        <f>IF($I42=Konfiguration!$B$40,Erfassung[[#This Row],[Betrag CHF]],0)</f>
        <v>0</v>
      </c>
      <c r="U42" s="54">
        <f>IF($I42=Konfiguration!$B$41,Erfassung[[#This Row],[Betrag CHF]],0)</f>
        <v>0</v>
      </c>
      <c r="V42" s="54">
        <f>IF($I42=Konfiguration!$B$42,Erfassung[[#This Row],[Betrag CHF]],0)</f>
        <v>0</v>
      </c>
      <c r="W42" s="11"/>
      <c r="X42" s="11"/>
      <c r="Y42" s="11"/>
    </row>
    <row r="43" spans="1:25" s="5" customFormat="1" ht="10.5" x14ac:dyDescent="0.15">
      <c r="A43" s="37">
        <f t="shared" si="9"/>
        <v>35</v>
      </c>
      <c r="B43" s="26"/>
      <c r="C43" s="15"/>
      <c r="D43" s="15"/>
      <c r="E43" s="41"/>
      <c r="F43" s="34"/>
      <c r="G43" s="34"/>
      <c r="H43" s="15"/>
      <c r="I43" s="34"/>
      <c r="J43" s="42">
        <f t="shared" si="10"/>
        <v>0</v>
      </c>
      <c r="K43" s="42">
        <f t="shared" si="11"/>
        <v>0</v>
      </c>
      <c r="L43" s="42">
        <f t="shared" si="12"/>
        <v>0</v>
      </c>
      <c r="M43" s="42">
        <f>IF(LEFT(Erfassung[[#This Row],[MWST-Code]],3)="VSM",Erfassung[[#This Row],[Steuer-Betrag CHF]],0)</f>
        <v>0</v>
      </c>
      <c r="N43" s="57">
        <f>IF(LEFT(Erfassung[[#This Row],[MWST-Code]],3)="VSB",Erfassung[[#This Row],[Steuer-Betrag CHF]],0)</f>
        <v>0</v>
      </c>
      <c r="O43" s="54"/>
      <c r="P43" s="54"/>
      <c r="Q43" s="54">
        <f>IF($I43=Konfiguration!$B$37,Erfassung[[#This Row],[Betrag CHF]],IF($I43="",Erfassung[[#This Row],[Betrag CHF]],0))</f>
        <v>0</v>
      </c>
      <c r="R43" s="54">
        <f>IF($I43=Konfiguration!$B$38,Erfassung[[#This Row],[Betrag CHF]],0)</f>
        <v>0</v>
      </c>
      <c r="S43" s="54">
        <f>IF($I43=Konfiguration!$B$39,Erfassung[[#This Row],[Betrag CHF]],0)</f>
        <v>0</v>
      </c>
      <c r="T43" s="54">
        <f>IF($I43=Konfiguration!$B$40,Erfassung[[#This Row],[Betrag CHF]],0)</f>
        <v>0</v>
      </c>
      <c r="U43" s="54">
        <f>IF($I43=Konfiguration!$B$41,Erfassung[[#This Row],[Betrag CHF]],0)</f>
        <v>0</v>
      </c>
      <c r="V43" s="54">
        <f>IF($I43=Konfiguration!$B$42,Erfassung[[#This Row],[Betrag CHF]],0)</f>
        <v>0</v>
      </c>
      <c r="W43" s="11"/>
      <c r="X43" s="11"/>
      <c r="Y43" s="11"/>
    </row>
    <row r="44" spans="1:25" s="5" customFormat="1" ht="10.5" x14ac:dyDescent="0.15">
      <c r="A44" s="38">
        <f t="shared" si="9"/>
        <v>36</v>
      </c>
      <c r="B44" s="27"/>
      <c r="C44" s="16"/>
      <c r="D44" s="16"/>
      <c r="E44" s="44"/>
      <c r="F44" s="35"/>
      <c r="G44" s="35"/>
      <c r="H44" s="16"/>
      <c r="I44" s="35"/>
      <c r="J44" s="43">
        <f t="shared" si="10"/>
        <v>0</v>
      </c>
      <c r="K44" s="43">
        <f t="shared" si="11"/>
        <v>0</v>
      </c>
      <c r="L44" s="43">
        <f t="shared" si="12"/>
        <v>0</v>
      </c>
      <c r="M44" s="43">
        <f>IF(LEFT(Erfassung[[#This Row],[MWST-Code]],3)="VSM",Erfassung[[#This Row],[Steuer-Betrag CHF]],0)</f>
        <v>0</v>
      </c>
      <c r="N44" s="58">
        <f>IF(LEFT(Erfassung[[#This Row],[MWST-Code]],3)="VSB",Erfassung[[#This Row],[Steuer-Betrag CHF]],0)</f>
        <v>0</v>
      </c>
      <c r="O44" s="54"/>
      <c r="P44" s="54"/>
      <c r="Q44" s="54">
        <f>IF($I44=Konfiguration!$B$37,Erfassung[[#This Row],[Betrag CHF]],IF($I44="",Erfassung[[#This Row],[Betrag CHF]],0))</f>
        <v>0</v>
      </c>
      <c r="R44" s="54">
        <f>IF($I44=Konfiguration!$B$38,Erfassung[[#This Row],[Betrag CHF]],0)</f>
        <v>0</v>
      </c>
      <c r="S44" s="54">
        <f>IF($I44=Konfiguration!$B$39,Erfassung[[#This Row],[Betrag CHF]],0)</f>
        <v>0</v>
      </c>
      <c r="T44" s="54">
        <f>IF($I44=Konfiguration!$B$40,Erfassung[[#This Row],[Betrag CHF]],0)</f>
        <v>0</v>
      </c>
      <c r="U44" s="54">
        <f>IF($I44=Konfiguration!$B$41,Erfassung[[#This Row],[Betrag CHF]],0)</f>
        <v>0</v>
      </c>
      <c r="V44" s="54">
        <f>IF($I44=Konfiguration!$B$42,Erfassung[[#This Row],[Betrag CHF]],0)</f>
        <v>0</v>
      </c>
      <c r="W44" s="11"/>
      <c r="X44" s="11"/>
      <c r="Y44" s="11"/>
    </row>
    <row r="45" spans="1:25" s="5" customFormat="1" ht="10.5" x14ac:dyDescent="0.15">
      <c r="A45" s="37">
        <f t="shared" ref="A45:A66" si="13" xml:space="preserve"> ROW()-8</f>
        <v>37</v>
      </c>
      <c r="B45" s="26"/>
      <c r="C45" s="15"/>
      <c r="D45" s="15"/>
      <c r="E45" s="41"/>
      <c r="F45" s="34"/>
      <c r="G45" s="34"/>
      <c r="H45" s="15"/>
      <c r="I45" s="34"/>
      <c r="J45" s="42">
        <f t="shared" ref="J45:J66" si="14">IF(F45="",IF(Rundung,ROUND(E45/5,2)*5,E45),IF(Rundung, ROUND(E45*G45/5,2)*5,E45*G45))</f>
        <v>0</v>
      </c>
      <c r="K45" s="42">
        <f t="shared" ref="K45:K66" si="15">IF(J45&lt;&gt;0,IF(Rundung,ROUND(J45*P45/5,2)*5,J45*P45),0)</f>
        <v>0</v>
      </c>
      <c r="L45" s="42">
        <f t="shared" ref="L45:L66" si="16">J45-K45</f>
        <v>0</v>
      </c>
      <c r="M45" s="42">
        <f>IF(LEFT(Erfassung[[#This Row],[MWST-Code]],3)="VSM",Erfassung[[#This Row],[Steuer-Betrag CHF]],0)</f>
        <v>0</v>
      </c>
      <c r="N45" s="57">
        <f>IF(LEFT(Erfassung[[#This Row],[MWST-Code]],3)="VSB",Erfassung[[#This Row],[Steuer-Betrag CHF]],0)</f>
        <v>0</v>
      </c>
      <c r="O45" s="54"/>
      <c r="P45" s="54"/>
      <c r="Q45" s="54">
        <f>IF($I45=Konfiguration!$B$37,Erfassung[[#This Row],[Betrag CHF]],IF($I45="",Erfassung[[#This Row],[Betrag CHF]],0))</f>
        <v>0</v>
      </c>
      <c r="R45" s="54">
        <f>IF($I45=Konfiguration!$B$38,Erfassung[[#This Row],[Betrag CHF]],0)</f>
        <v>0</v>
      </c>
      <c r="S45" s="54">
        <f>IF($I45=Konfiguration!$B$39,Erfassung[[#This Row],[Betrag CHF]],0)</f>
        <v>0</v>
      </c>
      <c r="T45" s="54">
        <f>IF($I45=Konfiguration!$B$40,Erfassung[[#This Row],[Betrag CHF]],0)</f>
        <v>0</v>
      </c>
      <c r="U45" s="54">
        <f>IF($I45=Konfiguration!$B$41,Erfassung[[#This Row],[Betrag CHF]],0)</f>
        <v>0</v>
      </c>
      <c r="V45" s="54">
        <f>IF($I45=Konfiguration!$B$42,Erfassung[[#This Row],[Betrag CHF]],0)</f>
        <v>0</v>
      </c>
      <c r="W45" s="11"/>
      <c r="X45" s="11"/>
      <c r="Y45" s="11"/>
    </row>
    <row r="46" spans="1:25" s="5" customFormat="1" ht="10.5" x14ac:dyDescent="0.15">
      <c r="A46" s="40">
        <f t="shared" si="13"/>
        <v>38</v>
      </c>
      <c r="B46" s="27"/>
      <c r="C46" s="16"/>
      <c r="D46" s="16"/>
      <c r="E46" s="44"/>
      <c r="F46" s="35"/>
      <c r="G46" s="35"/>
      <c r="H46" s="16"/>
      <c r="I46" s="35"/>
      <c r="J46" s="43">
        <f t="shared" si="14"/>
        <v>0</v>
      </c>
      <c r="K46" s="43">
        <f t="shared" si="15"/>
        <v>0</v>
      </c>
      <c r="L46" s="43">
        <f t="shared" si="16"/>
        <v>0</v>
      </c>
      <c r="M46" s="43">
        <f>IF(LEFT(Erfassung[[#This Row],[MWST-Code]],3)="VSM",Erfassung[[#This Row],[Steuer-Betrag CHF]],0)</f>
        <v>0</v>
      </c>
      <c r="N46" s="58">
        <f>IF(LEFT(Erfassung[[#This Row],[MWST-Code]],3)="VSB",Erfassung[[#This Row],[Steuer-Betrag CHF]],0)</f>
        <v>0</v>
      </c>
      <c r="O46" s="54"/>
      <c r="P46" s="54"/>
      <c r="Q46" s="54">
        <f>IF($I46=Konfiguration!$B$37,Erfassung[[#This Row],[Betrag CHF]],IF($I46="",Erfassung[[#This Row],[Betrag CHF]],0))</f>
        <v>0</v>
      </c>
      <c r="R46" s="54">
        <f>IF($I46=Konfiguration!$B$38,Erfassung[[#This Row],[Betrag CHF]],0)</f>
        <v>0</v>
      </c>
      <c r="S46" s="54">
        <f>IF($I46=Konfiguration!$B$39,Erfassung[[#This Row],[Betrag CHF]],0)</f>
        <v>0</v>
      </c>
      <c r="T46" s="54">
        <f>IF($I46=Konfiguration!$B$40,Erfassung[[#This Row],[Betrag CHF]],0)</f>
        <v>0</v>
      </c>
      <c r="U46" s="54">
        <f>IF($I46=Konfiguration!$B$41,Erfassung[[#This Row],[Betrag CHF]],0)</f>
        <v>0</v>
      </c>
      <c r="V46" s="54">
        <f>IF($I46=Konfiguration!$B$42,Erfassung[[#This Row],[Betrag CHF]],0)</f>
        <v>0</v>
      </c>
      <c r="W46" s="11"/>
      <c r="X46" s="11"/>
      <c r="Y46" s="11"/>
    </row>
    <row r="47" spans="1:25" s="5" customFormat="1" ht="10.5" x14ac:dyDescent="0.15">
      <c r="A47" s="39">
        <f t="shared" si="13"/>
        <v>39</v>
      </c>
      <c r="B47" s="26"/>
      <c r="C47" s="15"/>
      <c r="D47" s="15"/>
      <c r="E47" s="41"/>
      <c r="F47" s="34"/>
      <c r="G47" s="34"/>
      <c r="H47" s="15"/>
      <c r="I47" s="34"/>
      <c r="J47" s="42">
        <f t="shared" si="14"/>
        <v>0</v>
      </c>
      <c r="K47" s="42">
        <f t="shared" si="15"/>
        <v>0</v>
      </c>
      <c r="L47" s="42">
        <f t="shared" si="16"/>
        <v>0</v>
      </c>
      <c r="M47" s="42">
        <f>IF(LEFT(Erfassung[[#This Row],[MWST-Code]],3)="VSM",Erfassung[[#This Row],[Steuer-Betrag CHF]],0)</f>
        <v>0</v>
      </c>
      <c r="N47" s="57">
        <f>IF(LEFT(Erfassung[[#This Row],[MWST-Code]],3)="VSB",Erfassung[[#This Row],[Steuer-Betrag CHF]],0)</f>
        <v>0</v>
      </c>
      <c r="O47" s="54"/>
      <c r="P47" s="54"/>
      <c r="Q47" s="54">
        <f>IF($I47=Konfiguration!$B$37,Erfassung[[#This Row],[Betrag CHF]],IF($I47="",Erfassung[[#This Row],[Betrag CHF]],0))</f>
        <v>0</v>
      </c>
      <c r="R47" s="54">
        <f>IF($I47=Konfiguration!$B$38,Erfassung[[#This Row],[Betrag CHF]],0)</f>
        <v>0</v>
      </c>
      <c r="S47" s="54">
        <f>IF($I47=Konfiguration!$B$39,Erfassung[[#This Row],[Betrag CHF]],0)</f>
        <v>0</v>
      </c>
      <c r="T47" s="54">
        <f>IF($I47=Konfiguration!$B$40,Erfassung[[#This Row],[Betrag CHF]],0)</f>
        <v>0</v>
      </c>
      <c r="U47" s="54">
        <f>IF($I47=Konfiguration!$B$41,Erfassung[[#This Row],[Betrag CHF]],0)</f>
        <v>0</v>
      </c>
      <c r="V47" s="54">
        <f>IF($I47=Konfiguration!$B$42,Erfassung[[#This Row],[Betrag CHF]],0)</f>
        <v>0</v>
      </c>
      <c r="W47" s="11"/>
      <c r="X47" s="11"/>
      <c r="Y47" s="11"/>
    </row>
    <row r="48" spans="1:25" s="5" customFormat="1" ht="10.5" x14ac:dyDescent="0.15">
      <c r="A48" s="38">
        <f t="shared" si="13"/>
        <v>40</v>
      </c>
      <c r="B48" s="27"/>
      <c r="C48" s="16"/>
      <c r="D48" s="16"/>
      <c r="E48" s="44"/>
      <c r="F48" s="35"/>
      <c r="G48" s="35"/>
      <c r="H48" s="16"/>
      <c r="I48" s="35"/>
      <c r="J48" s="43">
        <f t="shared" si="14"/>
        <v>0</v>
      </c>
      <c r="K48" s="43">
        <f t="shared" si="15"/>
        <v>0</v>
      </c>
      <c r="L48" s="43">
        <f t="shared" si="16"/>
        <v>0</v>
      </c>
      <c r="M48" s="43">
        <f>IF(LEFT(Erfassung[[#This Row],[MWST-Code]],3)="VSM",Erfassung[[#This Row],[Steuer-Betrag CHF]],0)</f>
        <v>0</v>
      </c>
      <c r="N48" s="58">
        <f>IF(LEFT(Erfassung[[#This Row],[MWST-Code]],3)="VSB",Erfassung[[#This Row],[Steuer-Betrag CHF]],0)</f>
        <v>0</v>
      </c>
      <c r="O48" s="54"/>
      <c r="P48" s="54"/>
      <c r="Q48" s="54">
        <f>IF($I48=Konfiguration!$B$37,Erfassung[[#This Row],[Betrag CHF]],IF($I48="",Erfassung[[#This Row],[Betrag CHF]],0))</f>
        <v>0</v>
      </c>
      <c r="R48" s="54">
        <f>IF($I48=Konfiguration!$B$38,Erfassung[[#This Row],[Betrag CHF]],0)</f>
        <v>0</v>
      </c>
      <c r="S48" s="54">
        <f>IF($I48=Konfiguration!$B$39,Erfassung[[#This Row],[Betrag CHF]],0)</f>
        <v>0</v>
      </c>
      <c r="T48" s="54">
        <f>IF($I48=Konfiguration!$B$40,Erfassung[[#This Row],[Betrag CHF]],0)</f>
        <v>0</v>
      </c>
      <c r="U48" s="54">
        <f>IF($I48=Konfiguration!$B$41,Erfassung[[#This Row],[Betrag CHF]],0)</f>
        <v>0</v>
      </c>
      <c r="V48" s="54">
        <f>IF($I48=Konfiguration!$B$42,Erfassung[[#This Row],[Betrag CHF]],0)</f>
        <v>0</v>
      </c>
      <c r="W48" s="11"/>
      <c r="X48" s="11"/>
      <c r="Y48" s="11"/>
    </row>
    <row r="49" spans="1:25" s="5" customFormat="1" ht="10.5" x14ac:dyDescent="0.15">
      <c r="A49" s="39">
        <f t="shared" si="13"/>
        <v>41</v>
      </c>
      <c r="B49" s="26"/>
      <c r="C49" s="15"/>
      <c r="D49" s="15"/>
      <c r="E49" s="41"/>
      <c r="F49" s="34"/>
      <c r="G49" s="34"/>
      <c r="H49" s="15"/>
      <c r="I49" s="34"/>
      <c r="J49" s="42">
        <f t="shared" si="14"/>
        <v>0</v>
      </c>
      <c r="K49" s="42">
        <f t="shared" si="15"/>
        <v>0</v>
      </c>
      <c r="L49" s="42">
        <f t="shared" si="16"/>
        <v>0</v>
      </c>
      <c r="M49" s="42">
        <f>IF(LEFT(Erfassung[[#This Row],[MWST-Code]],3)="VSM",Erfassung[[#This Row],[Steuer-Betrag CHF]],0)</f>
        <v>0</v>
      </c>
      <c r="N49" s="57">
        <f>IF(LEFT(Erfassung[[#This Row],[MWST-Code]],3)="VSB",Erfassung[[#This Row],[Steuer-Betrag CHF]],0)</f>
        <v>0</v>
      </c>
      <c r="O49" s="54"/>
      <c r="P49" s="54"/>
      <c r="Q49" s="54">
        <f>IF($I49=Konfiguration!$B$37,Erfassung[[#This Row],[Betrag CHF]],IF($I49="",Erfassung[[#This Row],[Betrag CHF]],0))</f>
        <v>0</v>
      </c>
      <c r="R49" s="54">
        <f>IF($I49=Konfiguration!$B$38,Erfassung[[#This Row],[Betrag CHF]],0)</f>
        <v>0</v>
      </c>
      <c r="S49" s="54">
        <f>IF($I49=Konfiguration!$B$39,Erfassung[[#This Row],[Betrag CHF]],0)</f>
        <v>0</v>
      </c>
      <c r="T49" s="54">
        <f>IF($I49=Konfiguration!$B$40,Erfassung[[#This Row],[Betrag CHF]],0)</f>
        <v>0</v>
      </c>
      <c r="U49" s="54">
        <f>IF($I49=Konfiguration!$B$41,Erfassung[[#This Row],[Betrag CHF]],0)</f>
        <v>0</v>
      </c>
      <c r="V49" s="54">
        <f>IF($I49=Konfiguration!$B$42,Erfassung[[#This Row],[Betrag CHF]],0)</f>
        <v>0</v>
      </c>
      <c r="W49" s="11"/>
      <c r="X49" s="11"/>
      <c r="Y49" s="11"/>
    </row>
    <row r="50" spans="1:25" s="5" customFormat="1" ht="10.5" x14ac:dyDescent="0.15">
      <c r="A50" s="38">
        <f t="shared" ref="A50:A62" si="17" xml:space="preserve"> ROW()-8</f>
        <v>42</v>
      </c>
      <c r="B50" s="27"/>
      <c r="C50" s="16"/>
      <c r="D50" s="16"/>
      <c r="E50" s="44"/>
      <c r="F50" s="35"/>
      <c r="G50" s="35"/>
      <c r="H50" s="16"/>
      <c r="I50" s="35"/>
      <c r="J50" s="43">
        <f t="shared" ref="J50:J62" si="18">IF(F50="",IF(Rundung,ROUND(E50/5,2)*5,E50),IF(Rundung, ROUND(E50*G50/5,2)*5,E50*G50))</f>
        <v>0</v>
      </c>
      <c r="K50" s="43">
        <f t="shared" ref="K50:K62" si="19">IF(J50&lt;&gt;0,IF(Rundung,ROUND(J50*P50/5,2)*5,J50*P50),0)</f>
        <v>0</v>
      </c>
      <c r="L50" s="43">
        <f t="shared" ref="L50:L62" si="20">J50-K50</f>
        <v>0</v>
      </c>
      <c r="M50" s="43">
        <f>IF(LEFT(Erfassung[[#This Row],[MWST-Code]],3)="VSM",Erfassung[[#This Row],[Steuer-Betrag CHF]],0)</f>
        <v>0</v>
      </c>
      <c r="N50" s="58">
        <f>IF(LEFT(Erfassung[[#This Row],[MWST-Code]],3)="VSB",Erfassung[[#This Row],[Steuer-Betrag CHF]],0)</f>
        <v>0</v>
      </c>
      <c r="O50" s="54"/>
      <c r="P50" s="54"/>
      <c r="Q50" s="54">
        <f>IF($I50=Konfiguration!$B$37,Erfassung[[#This Row],[Betrag CHF]],IF($I50="",Erfassung[[#This Row],[Betrag CHF]],0))</f>
        <v>0</v>
      </c>
      <c r="R50" s="54">
        <f>IF($I50=Konfiguration!$B$38,Erfassung[[#This Row],[Betrag CHF]],0)</f>
        <v>0</v>
      </c>
      <c r="S50" s="54">
        <f>IF($I50=Konfiguration!$B$39,Erfassung[[#This Row],[Betrag CHF]],0)</f>
        <v>0</v>
      </c>
      <c r="T50" s="54">
        <f>IF($I50=Konfiguration!$B$40,Erfassung[[#This Row],[Betrag CHF]],0)</f>
        <v>0</v>
      </c>
      <c r="U50" s="54">
        <f>IF($I50=Konfiguration!$B$41,Erfassung[[#This Row],[Betrag CHF]],0)</f>
        <v>0</v>
      </c>
      <c r="V50" s="54">
        <f>IF($I50=Konfiguration!$B$42,Erfassung[[#This Row],[Betrag CHF]],0)</f>
        <v>0</v>
      </c>
      <c r="W50" s="11"/>
      <c r="X50" s="11"/>
      <c r="Y50" s="11"/>
    </row>
    <row r="51" spans="1:25" s="5" customFormat="1" ht="10.5" x14ac:dyDescent="0.15">
      <c r="A51" s="39">
        <f t="shared" si="17"/>
        <v>43</v>
      </c>
      <c r="B51" s="26"/>
      <c r="C51" s="15"/>
      <c r="D51" s="15"/>
      <c r="E51" s="41"/>
      <c r="F51" s="34"/>
      <c r="G51" s="34"/>
      <c r="H51" s="15"/>
      <c r="I51" s="34"/>
      <c r="J51" s="42">
        <f t="shared" si="18"/>
        <v>0</v>
      </c>
      <c r="K51" s="42">
        <f t="shared" si="19"/>
        <v>0</v>
      </c>
      <c r="L51" s="42">
        <f t="shared" si="20"/>
        <v>0</v>
      </c>
      <c r="M51" s="42">
        <f>IF(LEFT(Erfassung[[#This Row],[MWST-Code]],3)="VSM",Erfassung[[#This Row],[Steuer-Betrag CHF]],0)</f>
        <v>0</v>
      </c>
      <c r="N51" s="57">
        <f>IF(LEFT(Erfassung[[#This Row],[MWST-Code]],3)="VSB",Erfassung[[#This Row],[Steuer-Betrag CHF]],0)</f>
        <v>0</v>
      </c>
      <c r="O51" s="54"/>
      <c r="P51" s="54"/>
      <c r="Q51" s="54">
        <f>IF($I51=Konfiguration!$B$37,Erfassung[[#This Row],[Betrag CHF]],IF($I51="",Erfassung[[#This Row],[Betrag CHF]],0))</f>
        <v>0</v>
      </c>
      <c r="R51" s="54">
        <f>IF($I51=Konfiguration!$B$38,Erfassung[[#This Row],[Betrag CHF]],0)</f>
        <v>0</v>
      </c>
      <c r="S51" s="54">
        <f>IF($I51=Konfiguration!$B$39,Erfassung[[#This Row],[Betrag CHF]],0)</f>
        <v>0</v>
      </c>
      <c r="T51" s="54">
        <f>IF($I51=Konfiguration!$B$40,Erfassung[[#This Row],[Betrag CHF]],0)</f>
        <v>0</v>
      </c>
      <c r="U51" s="54">
        <f>IF($I51=Konfiguration!$B$41,Erfassung[[#This Row],[Betrag CHF]],0)</f>
        <v>0</v>
      </c>
      <c r="V51" s="54">
        <f>IF($I51=Konfiguration!$B$42,Erfassung[[#This Row],[Betrag CHF]],0)</f>
        <v>0</v>
      </c>
      <c r="W51" s="11"/>
      <c r="X51" s="11"/>
      <c r="Y51" s="11"/>
    </row>
    <row r="52" spans="1:25" s="5" customFormat="1" ht="10.5" x14ac:dyDescent="0.15">
      <c r="A52" s="38">
        <f t="shared" si="17"/>
        <v>44</v>
      </c>
      <c r="B52" s="27"/>
      <c r="C52" s="16"/>
      <c r="D52" s="16"/>
      <c r="E52" s="44"/>
      <c r="F52" s="35"/>
      <c r="G52" s="35"/>
      <c r="H52" s="16"/>
      <c r="I52" s="35"/>
      <c r="J52" s="43">
        <f t="shared" si="18"/>
        <v>0</v>
      </c>
      <c r="K52" s="43">
        <f t="shared" si="19"/>
        <v>0</v>
      </c>
      <c r="L52" s="43">
        <f t="shared" si="20"/>
        <v>0</v>
      </c>
      <c r="M52" s="43">
        <f>IF(LEFT(Erfassung[[#This Row],[MWST-Code]],3)="VSM",Erfassung[[#This Row],[Steuer-Betrag CHF]],0)</f>
        <v>0</v>
      </c>
      <c r="N52" s="58">
        <f>IF(LEFT(Erfassung[[#This Row],[MWST-Code]],3)="VSB",Erfassung[[#This Row],[Steuer-Betrag CHF]],0)</f>
        <v>0</v>
      </c>
      <c r="O52" s="54"/>
      <c r="P52" s="54"/>
      <c r="Q52" s="54">
        <f>IF($I52=Konfiguration!$B$37,Erfassung[[#This Row],[Betrag CHF]],IF($I52="",Erfassung[[#This Row],[Betrag CHF]],0))</f>
        <v>0</v>
      </c>
      <c r="R52" s="54">
        <f>IF($I52=Konfiguration!$B$38,Erfassung[[#This Row],[Betrag CHF]],0)</f>
        <v>0</v>
      </c>
      <c r="S52" s="54">
        <f>IF($I52=Konfiguration!$B$39,Erfassung[[#This Row],[Betrag CHF]],0)</f>
        <v>0</v>
      </c>
      <c r="T52" s="54">
        <f>IF($I52=Konfiguration!$B$40,Erfassung[[#This Row],[Betrag CHF]],0)</f>
        <v>0</v>
      </c>
      <c r="U52" s="54">
        <f>IF($I52=Konfiguration!$B$41,Erfassung[[#This Row],[Betrag CHF]],0)</f>
        <v>0</v>
      </c>
      <c r="V52" s="54">
        <f>IF($I52=Konfiguration!$B$42,Erfassung[[#This Row],[Betrag CHF]],0)</f>
        <v>0</v>
      </c>
      <c r="W52" s="11"/>
      <c r="X52" s="11"/>
      <c r="Y52" s="11"/>
    </row>
    <row r="53" spans="1:25" s="5" customFormat="1" ht="10.5" x14ac:dyDescent="0.15">
      <c r="A53" s="39">
        <f t="shared" si="17"/>
        <v>45</v>
      </c>
      <c r="B53" s="26"/>
      <c r="C53" s="15"/>
      <c r="D53" s="15"/>
      <c r="E53" s="41"/>
      <c r="F53" s="34"/>
      <c r="G53" s="34"/>
      <c r="H53" s="15"/>
      <c r="I53" s="34"/>
      <c r="J53" s="42">
        <f t="shared" si="18"/>
        <v>0</v>
      </c>
      <c r="K53" s="42">
        <f t="shared" si="19"/>
        <v>0</v>
      </c>
      <c r="L53" s="42">
        <f t="shared" si="20"/>
        <v>0</v>
      </c>
      <c r="M53" s="42">
        <f>IF(LEFT(Erfassung[[#This Row],[MWST-Code]],3)="VSM",Erfassung[[#This Row],[Steuer-Betrag CHF]],0)</f>
        <v>0</v>
      </c>
      <c r="N53" s="57">
        <f>IF(LEFT(Erfassung[[#This Row],[MWST-Code]],3)="VSB",Erfassung[[#This Row],[Steuer-Betrag CHF]],0)</f>
        <v>0</v>
      </c>
      <c r="O53" s="54"/>
      <c r="P53" s="54"/>
      <c r="Q53" s="54">
        <f>IF($I53=Konfiguration!$B$37,Erfassung[[#This Row],[Betrag CHF]],IF($I53="",Erfassung[[#This Row],[Betrag CHF]],0))</f>
        <v>0</v>
      </c>
      <c r="R53" s="54">
        <f>IF($I53=Konfiguration!$B$38,Erfassung[[#This Row],[Betrag CHF]],0)</f>
        <v>0</v>
      </c>
      <c r="S53" s="54">
        <f>IF($I53=Konfiguration!$B$39,Erfassung[[#This Row],[Betrag CHF]],0)</f>
        <v>0</v>
      </c>
      <c r="T53" s="54">
        <f>IF($I53=Konfiguration!$B$40,Erfassung[[#This Row],[Betrag CHF]],0)</f>
        <v>0</v>
      </c>
      <c r="U53" s="54">
        <f>IF($I53=Konfiguration!$B$41,Erfassung[[#This Row],[Betrag CHF]],0)</f>
        <v>0</v>
      </c>
      <c r="V53" s="54">
        <f>IF($I53=Konfiguration!$B$42,Erfassung[[#This Row],[Betrag CHF]],0)</f>
        <v>0</v>
      </c>
      <c r="W53" s="11"/>
      <c r="X53" s="11"/>
      <c r="Y53" s="11"/>
    </row>
    <row r="54" spans="1:25" s="5" customFormat="1" ht="10.5" x14ac:dyDescent="0.15">
      <c r="A54" s="38">
        <f t="shared" si="17"/>
        <v>46</v>
      </c>
      <c r="B54" s="27"/>
      <c r="C54" s="16"/>
      <c r="D54" s="16"/>
      <c r="E54" s="44"/>
      <c r="F54" s="35"/>
      <c r="G54" s="35"/>
      <c r="H54" s="16"/>
      <c r="I54" s="35"/>
      <c r="J54" s="43">
        <f t="shared" si="18"/>
        <v>0</v>
      </c>
      <c r="K54" s="43">
        <f t="shared" si="19"/>
        <v>0</v>
      </c>
      <c r="L54" s="43">
        <f t="shared" si="20"/>
        <v>0</v>
      </c>
      <c r="M54" s="43">
        <f>IF(LEFT(Erfassung[[#This Row],[MWST-Code]],3)="VSM",Erfassung[[#This Row],[Steuer-Betrag CHF]],0)</f>
        <v>0</v>
      </c>
      <c r="N54" s="58">
        <f>IF(LEFT(Erfassung[[#This Row],[MWST-Code]],3)="VSB",Erfassung[[#This Row],[Steuer-Betrag CHF]],0)</f>
        <v>0</v>
      </c>
      <c r="O54" s="54"/>
      <c r="P54" s="54"/>
      <c r="Q54" s="54">
        <f>IF($I54=Konfiguration!$B$37,Erfassung[[#This Row],[Betrag CHF]],IF($I54="",Erfassung[[#This Row],[Betrag CHF]],0))</f>
        <v>0</v>
      </c>
      <c r="R54" s="54">
        <f>IF($I54=Konfiguration!$B$38,Erfassung[[#This Row],[Betrag CHF]],0)</f>
        <v>0</v>
      </c>
      <c r="S54" s="54">
        <f>IF($I54=Konfiguration!$B$39,Erfassung[[#This Row],[Betrag CHF]],0)</f>
        <v>0</v>
      </c>
      <c r="T54" s="54">
        <f>IF($I54=Konfiguration!$B$40,Erfassung[[#This Row],[Betrag CHF]],0)</f>
        <v>0</v>
      </c>
      <c r="U54" s="54">
        <f>IF($I54=Konfiguration!$B$41,Erfassung[[#This Row],[Betrag CHF]],0)</f>
        <v>0</v>
      </c>
      <c r="V54" s="54">
        <f>IF($I54=Konfiguration!$B$42,Erfassung[[#This Row],[Betrag CHF]],0)</f>
        <v>0</v>
      </c>
      <c r="W54" s="11"/>
      <c r="X54" s="11"/>
      <c r="Y54" s="11"/>
    </row>
    <row r="55" spans="1:25" s="5" customFormat="1" ht="10.5" x14ac:dyDescent="0.15">
      <c r="A55" s="39">
        <f t="shared" si="17"/>
        <v>47</v>
      </c>
      <c r="B55" s="26"/>
      <c r="C55" s="15"/>
      <c r="D55" s="15"/>
      <c r="E55" s="41"/>
      <c r="F55" s="34"/>
      <c r="G55" s="34"/>
      <c r="H55" s="15"/>
      <c r="I55" s="34"/>
      <c r="J55" s="42">
        <f t="shared" si="18"/>
        <v>0</v>
      </c>
      <c r="K55" s="42">
        <f t="shared" si="19"/>
        <v>0</v>
      </c>
      <c r="L55" s="42">
        <f t="shared" si="20"/>
        <v>0</v>
      </c>
      <c r="M55" s="42">
        <f>IF(LEFT(Erfassung[[#This Row],[MWST-Code]],3)="VSM",Erfassung[[#This Row],[Steuer-Betrag CHF]],0)</f>
        <v>0</v>
      </c>
      <c r="N55" s="57">
        <f>IF(LEFT(Erfassung[[#This Row],[MWST-Code]],3)="VSB",Erfassung[[#This Row],[Steuer-Betrag CHF]],0)</f>
        <v>0</v>
      </c>
      <c r="O55" s="54"/>
      <c r="P55" s="54"/>
      <c r="Q55" s="54">
        <f>IF($I55=Konfiguration!$B$37,Erfassung[[#This Row],[Betrag CHF]],IF($I55="",Erfassung[[#This Row],[Betrag CHF]],0))</f>
        <v>0</v>
      </c>
      <c r="R55" s="54">
        <f>IF($I55=Konfiguration!$B$38,Erfassung[[#This Row],[Betrag CHF]],0)</f>
        <v>0</v>
      </c>
      <c r="S55" s="54">
        <f>IF($I55=Konfiguration!$B$39,Erfassung[[#This Row],[Betrag CHF]],0)</f>
        <v>0</v>
      </c>
      <c r="T55" s="54">
        <f>IF($I55=Konfiguration!$B$40,Erfassung[[#This Row],[Betrag CHF]],0)</f>
        <v>0</v>
      </c>
      <c r="U55" s="54">
        <f>IF($I55=Konfiguration!$B$41,Erfassung[[#This Row],[Betrag CHF]],0)</f>
        <v>0</v>
      </c>
      <c r="V55" s="54">
        <f>IF($I55=Konfiguration!$B$42,Erfassung[[#This Row],[Betrag CHF]],0)</f>
        <v>0</v>
      </c>
      <c r="W55" s="11"/>
      <c r="X55" s="11"/>
      <c r="Y55" s="11"/>
    </row>
    <row r="56" spans="1:25" s="5" customFormat="1" ht="10.5" x14ac:dyDescent="0.15">
      <c r="A56" s="38">
        <f t="shared" si="17"/>
        <v>48</v>
      </c>
      <c r="B56" s="27"/>
      <c r="C56" s="16"/>
      <c r="D56" s="16"/>
      <c r="E56" s="44"/>
      <c r="F56" s="35"/>
      <c r="G56" s="35"/>
      <c r="H56" s="16"/>
      <c r="I56" s="35"/>
      <c r="J56" s="43">
        <f t="shared" si="18"/>
        <v>0</v>
      </c>
      <c r="K56" s="43">
        <f t="shared" si="19"/>
        <v>0</v>
      </c>
      <c r="L56" s="43">
        <f t="shared" si="20"/>
        <v>0</v>
      </c>
      <c r="M56" s="43">
        <f>IF(LEFT(Erfassung[[#This Row],[MWST-Code]],3)="VSM",Erfassung[[#This Row],[Steuer-Betrag CHF]],0)</f>
        <v>0</v>
      </c>
      <c r="N56" s="58">
        <f>IF(LEFT(Erfassung[[#This Row],[MWST-Code]],3)="VSB",Erfassung[[#This Row],[Steuer-Betrag CHF]],0)</f>
        <v>0</v>
      </c>
      <c r="O56" s="54"/>
      <c r="P56" s="54"/>
      <c r="Q56" s="54">
        <f>IF($I56=Konfiguration!$B$37,Erfassung[[#This Row],[Betrag CHF]],IF($I56="",Erfassung[[#This Row],[Betrag CHF]],0))</f>
        <v>0</v>
      </c>
      <c r="R56" s="54">
        <f>IF($I56=Konfiguration!$B$38,Erfassung[[#This Row],[Betrag CHF]],0)</f>
        <v>0</v>
      </c>
      <c r="S56" s="54">
        <f>IF($I56=Konfiguration!$B$39,Erfassung[[#This Row],[Betrag CHF]],0)</f>
        <v>0</v>
      </c>
      <c r="T56" s="54">
        <f>IF($I56=Konfiguration!$B$40,Erfassung[[#This Row],[Betrag CHF]],0)</f>
        <v>0</v>
      </c>
      <c r="U56" s="54">
        <f>IF($I56=Konfiguration!$B$41,Erfassung[[#This Row],[Betrag CHF]],0)</f>
        <v>0</v>
      </c>
      <c r="V56" s="54">
        <f>IF($I56=Konfiguration!$B$42,Erfassung[[#This Row],[Betrag CHF]],0)</f>
        <v>0</v>
      </c>
      <c r="W56" s="11"/>
      <c r="X56" s="11"/>
      <c r="Y56" s="11"/>
    </row>
    <row r="57" spans="1:25" s="5" customFormat="1" ht="10.5" x14ac:dyDescent="0.15">
      <c r="A57" s="39">
        <f t="shared" si="17"/>
        <v>49</v>
      </c>
      <c r="B57" s="26"/>
      <c r="C57" s="15"/>
      <c r="D57" s="15"/>
      <c r="E57" s="41"/>
      <c r="F57" s="34"/>
      <c r="G57" s="34"/>
      <c r="H57" s="15"/>
      <c r="I57" s="34"/>
      <c r="J57" s="42">
        <f t="shared" si="18"/>
        <v>0</v>
      </c>
      <c r="K57" s="42">
        <f t="shared" si="19"/>
        <v>0</v>
      </c>
      <c r="L57" s="42">
        <f t="shared" si="20"/>
        <v>0</v>
      </c>
      <c r="M57" s="42">
        <f>IF(LEFT(Erfassung[[#This Row],[MWST-Code]],3)="VSM",Erfassung[[#This Row],[Steuer-Betrag CHF]],0)</f>
        <v>0</v>
      </c>
      <c r="N57" s="57">
        <f>IF(LEFT(Erfassung[[#This Row],[MWST-Code]],3)="VSB",Erfassung[[#This Row],[Steuer-Betrag CHF]],0)</f>
        <v>0</v>
      </c>
      <c r="O57" s="54"/>
      <c r="P57" s="54"/>
      <c r="Q57" s="54">
        <f>IF($I57=Konfiguration!$B$37,Erfassung[[#This Row],[Betrag CHF]],IF($I57="",Erfassung[[#This Row],[Betrag CHF]],0))</f>
        <v>0</v>
      </c>
      <c r="R57" s="54">
        <f>IF($I57=Konfiguration!$B$38,Erfassung[[#This Row],[Betrag CHF]],0)</f>
        <v>0</v>
      </c>
      <c r="S57" s="54">
        <f>IF($I57=Konfiguration!$B$39,Erfassung[[#This Row],[Betrag CHF]],0)</f>
        <v>0</v>
      </c>
      <c r="T57" s="54">
        <f>IF($I57=Konfiguration!$B$40,Erfassung[[#This Row],[Betrag CHF]],0)</f>
        <v>0</v>
      </c>
      <c r="U57" s="54">
        <f>IF($I57=Konfiguration!$B$41,Erfassung[[#This Row],[Betrag CHF]],0)</f>
        <v>0</v>
      </c>
      <c r="V57" s="54">
        <f>IF($I57=Konfiguration!$B$42,Erfassung[[#This Row],[Betrag CHF]],0)</f>
        <v>0</v>
      </c>
      <c r="W57" s="11"/>
      <c r="X57" s="11"/>
      <c r="Y57" s="11"/>
    </row>
    <row r="58" spans="1:25" s="5" customFormat="1" ht="10.5" x14ac:dyDescent="0.15">
      <c r="A58" s="38">
        <f t="shared" si="17"/>
        <v>50</v>
      </c>
      <c r="B58" s="27"/>
      <c r="C58" s="16"/>
      <c r="D58" s="16"/>
      <c r="E58" s="44"/>
      <c r="F58" s="35"/>
      <c r="G58" s="35"/>
      <c r="H58" s="16"/>
      <c r="I58" s="35"/>
      <c r="J58" s="43">
        <f t="shared" si="18"/>
        <v>0</v>
      </c>
      <c r="K58" s="43">
        <f t="shared" si="19"/>
        <v>0</v>
      </c>
      <c r="L58" s="43">
        <f t="shared" si="20"/>
        <v>0</v>
      </c>
      <c r="M58" s="43">
        <f>IF(LEFT(Erfassung[[#This Row],[MWST-Code]],3)="VSM",Erfassung[[#This Row],[Steuer-Betrag CHF]],0)</f>
        <v>0</v>
      </c>
      <c r="N58" s="58">
        <f>IF(LEFT(Erfassung[[#This Row],[MWST-Code]],3)="VSB",Erfassung[[#This Row],[Steuer-Betrag CHF]],0)</f>
        <v>0</v>
      </c>
      <c r="O58" s="54"/>
      <c r="P58" s="54"/>
      <c r="Q58" s="54">
        <f>IF($I58=Konfiguration!$B$37,Erfassung[[#This Row],[Betrag CHF]],IF($I58="",Erfassung[[#This Row],[Betrag CHF]],0))</f>
        <v>0</v>
      </c>
      <c r="R58" s="54">
        <f>IF($I58=Konfiguration!$B$38,Erfassung[[#This Row],[Betrag CHF]],0)</f>
        <v>0</v>
      </c>
      <c r="S58" s="54">
        <f>IF($I58=Konfiguration!$B$39,Erfassung[[#This Row],[Betrag CHF]],0)</f>
        <v>0</v>
      </c>
      <c r="T58" s="54">
        <f>IF($I58=Konfiguration!$B$40,Erfassung[[#This Row],[Betrag CHF]],0)</f>
        <v>0</v>
      </c>
      <c r="U58" s="54">
        <f>IF($I58=Konfiguration!$B$41,Erfassung[[#This Row],[Betrag CHF]],0)</f>
        <v>0</v>
      </c>
      <c r="V58" s="54">
        <f>IF($I58=Konfiguration!$B$42,Erfassung[[#This Row],[Betrag CHF]],0)</f>
        <v>0</v>
      </c>
      <c r="W58" s="11"/>
      <c r="X58" s="11"/>
      <c r="Y58" s="11"/>
    </row>
    <row r="59" spans="1:25" s="5" customFormat="1" ht="10.5" x14ac:dyDescent="0.15">
      <c r="A59" s="39">
        <f t="shared" si="17"/>
        <v>51</v>
      </c>
      <c r="B59" s="26"/>
      <c r="C59" s="15"/>
      <c r="D59" s="15"/>
      <c r="E59" s="41"/>
      <c r="F59" s="34"/>
      <c r="G59" s="34"/>
      <c r="H59" s="15"/>
      <c r="I59" s="34"/>
      <c r="J59" s="42">
        <f t="shared" si="18"/>
        <v>0</v>
      </c>
      <c r="K59" s="42">
        <f t="shared" si="19"/>
        <v>0</v>
      </c>
      <c r="L59" s="42">
        <f t="shared" si="20"/>
        <v>0</v>
      </c>
      <c r="M59" s="42">
        <f>IF(LEFT(Erfassung[[#This Row],[MWST-Code]],3)="VSM",Erfassung[[#This Row],[Steuer-Betrag CHF]],0)</f>
        <v>0</v>
      </c>
      <c r="N59" s="57">
        <f>IF(LEFT(Erfassung[[#This Row],[MWST-Code]],3)="VSB",Erfassung[[#This Row],[Steuer-Betrag CHF]],0)</f>
        <v>0</v>
      </c>
      <c r="O59" s="54"/>
      <c r="P59" s="54"/>
      <c r="Q59" s="54">
        <f>IF($I59=Konfiguration!$B$37,Erfassung[[#This Row],[Betrag CHF]],IF($I59="",Erfassung[[#This Row],[Betrag CHF]],0))</f>
        <v>0</v>
      </c>
      <c r="R59" s="54">
        <f>IF($I59=Konfiguration!$B$38,Erfassung[[#This Row],[Betrag CHF]],0)</f>
        <v>0</v>
      </c>
      <c r="S59" s="54">
        <f>IF($I59=Konfiguration!$B$39,Erfassung[[#This Row],[Betrag CHF]],0)</f>
        <v>0</v>
      </c>
      <c r="T59" s="54">
        <f>IF($I59=Konfiguration!$B$40,Erfassung[[#This Row],[Betrag CHF]],0)</f>
        <v>0</v>
      </c>
      <c r="U59" s="54">
        <f>IF($I59=Konfiguration!$B$41,Erfassung[[#This Row],[Betrag CHF]],0)</f>
        <v>0</v>
      </c>
      <c r="V59" s="54">
        <f>IF($I59=Konfiguration!$B$42,Erfassung[[#This Row],[Betrag CHF]],0)</f>
        <v>0</v>
      </c>
      <c r="W59" s="11"/>
      <c r="X59" s="11"/>
      <c r="Y59" s="11"/>
    </row>
    <row r="60" spans="1:25" s="5" customFormat="1" ht="10.5" x14ac:dyDescent="0.15">
      <c r="A60" s="38">
        <f t="shared" si="17"/>
        <v>52</v>
      </c>
      <c r="B60" s="27"/>
      <c r="C60" s="16"/>
      <c r="D60" s="16"/>
      <c r="E60" s="44"/>
      <c r="F60" s="35"/>
      <c r="G60" s="35"/>
      <c r="H60" s="16"/>
      <c r="I60" s="35"/>
      <c r="J60" s="43">
        <f t="shared" si="18"/>
        <v>0</v>
      </c>
      <c r="K60" s="43">
        <f t="shared" si="19"/>
        <v>0</v>
      </c>
      <c r="L60" s="43">
        <f t="shared" si="20"/>
        <v>0</v>
      </c>
      <c r="M60" s="43">
        <f>IF(LEFT(Erfassung[[#This Row],[MWST-Code]],3)="VSM",Erfassung[[#This Row],[Steuer-Betrag CHF]],0)</f>
        <v>0</v>
      </c>
      <c r="N60" s="58">
        <f>IF(LEFT(Erfassung[[#This Row],[MWST-Code]],3)="VSB",Erfassung[[#This Row],[Steuer-Betrag CHF]],0)</f>
        <v>0</v>
      </c>
      <c r="O60" s="54"/>
      <c r="P60" s="54"/>
      <c r="Q60" s="54">
        <f>IF($I60=Konfiguration!$B$37,Erfassung[[#This Row],[Betrag CHF]],IF($I60="",Erfassung[[#This Row],[Betrag CHF]],0))</f>
        <v>0</v>
      </c>
      <c r="R60" s="54">
        <f>IF($I60=Konfiguration!$B$38,Erfassung[[#This Row],[Betrag CHF]],0)</f>
        <v>0</v>
      </c>
      <c r="S60" s="54">
        <f>IF($I60=Konfiguration!$B$39,Erfassung[[#This Row],[Betrag CHF]],0)</f>
        <v>0</v>
      </c>
      <c r="T60" s="54">
        <f>IF($I60=Konfiguration!$B$40,Erfassung[[#This Row],[Betrag CHF]],0)</f>
        <v>0</v>
      </c>
      <c r="U60" s="54">
        <f>IF($I60=Konfiguration!$B$41,Erfassung[[#This Row],[Betrag CHF]],0)</f>
        <v>0</v>
      </c>
      <c r="V60" s="54">
        <f>IF($I60=Konfiguration!$B$42,Erfassung[[#This Row],[Betrag CHF]],0)</f>
        <v>0</v>
      </c>
      <c r="W60" s="11"/>
      <c r="X60" s="11"/>
      <c r="Y60" s="11"/>
    </row>
    <row r="61" spans="1:25" s="5" customFormat="1" ht="10.5" x14ac:dyDescent="0.15">
      <c r="A61" s="39">
        <f t="shared" si="17"/>
        <v>53</v>
      </c>
      <c r="B61" s="26"/>
      <c r="C61" s="15"/>
      <c r="D61" s="15"/>
      <c r="E61" s="41"/>
      <c r="F61" s="34"/>
      <c r="G61" s="34"/>
      <c r="H61" s="15"/>
      <c r="I61" s="34"/>
      <c r="J61" s="42">
        <f t="shared" si="18"/>
        <v>0</v>
      </c>
      <c r="K61" s="42">
        <f t="shared" si="19"/>
        <v>0</v>
      </c>
      <c r="L61" s="42">
        <f t="shared" si="20"/>
        <v>0</v>
      </c>
      <c r="M61" s="42">
        <f>IF(LEFT(Erfassung[[#This Row],[MWST-Code]],3)="VSM",Erfassung[[#This Row],[Steuer-Betrag CHF]],0)</f>
        <v>0</v>
      </c>
      <c r="N61" s="57">
        <f>IF(LEFT(Erfassung[[#This Row],[MWST-Code]],3)="VSB",Erfassung[[#This Row],[Steuer-Betrag CHF]],0)</f>
        <v>0</v>
      </c>
      <c r="O61" s="54"/>
      <c r="P61" s="54"/>
      <c r="Q61" s="54">
        <f>IF($I61=Konfiguration!$B$37,Erfassung[[#This Row],[Betrag CHF]],IF($I61="",Erfassung[[#This Row],[Betrag CHF]],0))</f>
        <v>0</v>
      </c>
      <c r="R61" s="54">
        <f>IF($I61=Konfiguration!$B$38,Erfassung[[#This Row],[Betrag CHF]],0)</f>
        <v>0</v>
      </c>
      <c r="S61" s="54">
        <f>IF($I61=Konfiguration!$B$39,Erfassung[[#This Row],[Betrag CHF]],0)</f>
        <v>0</v>
      </c>
      <c r="T61" s="54">
        <f>IF($I61=Konfiguration!$B$40,Erfassung[[#This Row],[Betrag CHF]],0)</f>
        <v>0</v>
      </c>
      <c r="U61" s="54">
        <f>IF($I61=Konfiguration!$B$41,Erfassung[[#This Row],[Betrag CHF]],0)</f>
        <v>0</v>
      </c>
      <c r="V61" s="54">
        <f>IF($I61=Konfiguration!$B$42,Erfassung[[#This Row],[Betrag CHF]],0)</f>
        <v>0</v>
      </c>
      <c r="W61" s="11"/>
      <c r="X61" s="11"/>
      <c r="Y61" s="11"/>
    </row>
    <row r="62" spans="1:25" s="5" customFormat="1" ht="10.5" x14ac:dyDescent="0.15">
      <c r="A62" s="38">
        <f t="shared" si="17"/>
        <v>54</v>
      </c>
      <c r="B62" s="27"/>
      <c r="C62" s="16"/>
      <c r="D62" s="16"/>
      <c r="E62" s="44"/>
      <c r="F62" s="35"/>
      <c r="G62" s="35"/>
      <c r="H62" s="16"/>
      <c r="I62" s="35"/>
      <c r="J62" s="43">
        <f t="shared" si="18"/>
        <v>0</v>
      </c>
      <c r="K62" s="43">
        <f t="shared" si="19"/>
        <v>0</v>
      </c>
      <c r="L62" s="43">
        <f t="shared" si="20"/>
        <v>0</v>
      </c>
      <c r="M62" s="43">
        <f>IF(LEFT(Erfassung[[#This Row],[MWST-Code]],3)="VSM",Erfassung[[#This Row],[Steuer-Betrag CHF]],0)</f>
        <v>0</v>
      </c>
      <c r="N62" s="58">
        <f>IF(LEFT(Erfassung[[#This Row],[MWST-Code]],3)="VSB",Erfassung[[#This Row],[Steuer-Betrag CHF]],0)</f>
        <v>0</v>
      </c>
      <c r="O62" s="54"/>
      <c r="P62" s="54"/>
      <c r="Q62" s="54">
        <f>IF($I62=Konfiguration!$B$37,Erfassung[[#This Row],[Betrag CHF]],IF($I62="",Erfassung[[#This Row],[Betrag CHF]],0))</f>
        <v>0</v>
      </c>
      <c r="R62" s="54">
        <f>IF($I62=Konfiguration!$B$38,Erfassung[[#This Row],[Betrag CHF]],0)</f>
        <v>0</v>
      </c>
      <c r="S62" s="54">
        <f>IF($I62=Konfiguration!$B$39,Erfassung[[#This Row],[Betrag CHF]],0)</f>
        <v>0</v>
      </c>
      <c r="T62" s="54">
        <f>IF($I62=Konfiguration!$B$40,Erfassung[[#This Row],[Betrag CHF]],0)</f>
        <v>0</v>
      </c>
      <c r="U62" s="54">
        <f>IF($I62=Konfiguration!$B$41,Erfassung[[#This Row],[Betrag CHF]],0)</f>
        <v>0</v>
      </c>
      <c r="V62" s="54">
        <f>IF($I62=Konfiguration!$B$42,Erfassung[[#This Row],[Betrag CHF]],0)</f>
        <v>0</v>
      </c>
      <c r="W62" s="11"/>
      <c r="X62" s="11"/>
      <c r="Y62" s="11"/>
    </row>
    <row r="63" spans="1:25" s="5" customFormat="1" ht="10.5" x14ac:dyDescent="0.15">
      <c r="A63" s="39">
        <f t="shared" si="13"/>
        <v>55</v>
      </c>
      <c r="B63" s="26"/>
      <c r="C63" s="15"/>
      <c r="D63" s="15"/>
      <c r="E63" s="41"/>
      <c r="F63" s="34"/>
      <c r="G63" s="34"/>
      <c r="H63" s="15"/>
      <c r="I63" s="34"/>
      <c r="J63" s="42">
        <f t="shared" si="14"/>
        <v>0</v>
      </c>
      <c r="K63" s="42">
        <f t="shared" si="15"/>
        <v>0</v>
      </c>
      <c r="L63" s="42">
        <f t="shared" si="16"/>
        <v>0</v>
      </c>
      <c r="M63" s="42">
        <f>IF(LEFT(Erfassung[[#This Row],[MWST-Code]],3)="VSM",Erfassung[[#This Row],[Steuer-Betrag CHF]],0)</f>
        <v>0</v>
      </c>
      <c r="N63" s="57">
        <f>IF(LEFT(Erfassung[[#This Row],[MWST-Code]],3)="VSB",Erfassung[[#This Row],[Steuer-Betrag CHF]],0)</f>
        <v>0</v>
      </c>
      <c r="O63" s="54"/>
      <c r="P63" s="54"/>
      <c r="Q63" s="54">
        <f>IF($I63=Konfiguration!$B$37,Erfassung[[#This Row],[Betrag CHF]],IF($I63="",Erfassung[[#This Row],[Betrag CHF]],0))</f>
        <v>0</v>
      </c>
      <c r="R63" s="54">
        <f>IF($I63=Konfiguration!$B$38,Erfassung[[#This Row],[Betrag CHF]],0)</f>
        <v>0</v>
      </c>
      <c r="S63" s="54">
        <f>IF($I63=Konfiguration!$B$39,Erfassung[[#This Row],[Betrag CHF]],0)</f>
        <v>0</v>
      </c>
      <c r="T63" s="54">
        <f>IF($I63=Konfiguration!$B$40,Erfassung[[#This Row],[Betrag CHF]],0)</f>
        <v>0</v>
      </c>
      <c r="U63" s="54">
        <f>IF($I63=Konfiguration!$B$41,Erfassung[[#This Row],[Betrag CHF]],0)</f>
        <v>0</v>
      </c>
      <c r="V63" s="54">
        <f>IF($I63=Konfiguration!$B$42,Erfassung[[#This Row],[Betrag CHF]],0)</f>
        <v>0</v>
      </c>
      <c r="W63" s="11"/>
      <c r="X63" s="11"/>
      <c r="Y63" s="11"/>
    </row>
    <row r="64" spans="1:25" s="5" customFormat="1" ht="10.5" x14ac:dyDescent="0.15">
      <c r="A64" s="38">
        <f t="shared" si="13"/>
        <v>56</v>
      </c>
      <c r="B64" s="27"/>
      <c r="C64" s="16"/>
      <c r="D64" s="16"/>
      <c r="E64" s="44"/>
      <c r="F64" s="35"/>
      <c r="G64" s="35"/>
      <c r="H64" s="16"/>
      <c r="I64" s="35"/>
      <c r="J64" s="43">
        <f t="shared" si="14"/>
        <v>0</v>
      </c>
      <c r="K64" s="43">
        <f t="shared" si="15"/>
        <v>0</v>
      </c>
      <c r="L64" s="43">
        <f t="shared" si="16"/>
        <v>0</v>
      </c>
      <c r="M64" s="43">
        <f>IF(LEFT(Erfassung[[#This Row],[MWST-Code]],3)="VSM",Erfassung[[#This Row],[Steuer-Betrag CHF]],0)</f>
        <v>0</v>
      </c>
      <c r="N64" s="58">
        <f>IF(LEFT(Erfassung[[#This Row],[MWST-Code]],3)="VSB",Erfassung[[#This Row],[Steuer-Betrag CHF]],0)</f>
        <v>0</v>
      </c>
      <c r="O64" s="54"/>
      <c r="P64" s="54"/>
      <c r="Q64" s="54">
        <f>IF($I64=Konfiguration!$B$37,Erfassung[[#This Row],[Betrag CHF]],IF($I64="",Erfassung[[#This Row],[Betrag CHF]],0))</f>
        <v>0</v>
      </c>
      <c r="R64" s="54">
        <f>IF($I64=Konfiguration!$B$38,Erfassung[[#This Row],[Betrag CHF]],0)</f>
        <v>0</v>
      </c>
      <c r="S64" s="54">
        <f>IF($I64=Konfiguration!$B$39,Erfassung[[#This Row],[Betrag CHF]],0)</f>
        <v>0</v>
      </c>
      <c r="T64" s="54">
        <f>IF($I64=Konfiguration!$B$40,Erfassung[[#This Row],[Betrag CHF]],0)</f>
        <v>0</v>
      </c>
      <c r="U64" s="54">
        <f>IF($I64=Konfiguration!$B$41,Erfassung[[#This Row],[Betrag CHF]],0)</f>
        <v>0</v>
      </c>
      <c r="V64" s="54">
        <f>IF($I64=Konfiguration!$B$42,Erfassung[[#This Row],[Betrag CHF]],0)</f>
        <v>0</v>
      </c>
      <c r="W64" s="11"/>
      <c r="X64" s="11"/>
      <c r="Y64" s="11"/>
    </row>
    <row r="65" spans="1:25" s="5" customFormat="1" ht="10.5" x14ac:dyDescent="0.15">
      <c r="A65" s="39">
        <f t="shared" si="13"/>
        <v>57</v>
      </c>
      <c r="B65" s="26"/>
      <c r="C65" s="15"/>
      <c r="D65" s="15"/>
      <c r="E65" s="41"/>
      <c r="F65" s="34"/>
      <c r="G65" s="34"/>
      <c r="H65" s="15"/>
      <c r="I65" s="34"/>
      <c r="J65" s="42">
        <f t="shared" si="14"/>
        <v>0</v>
      </c>
      <c r="K65" s="42">
        <f t="shared" si="15"/>
        <v>0</v>
      </c>
      <c r="L65" s="42">
        <f t="shared" si="16"/>
        <v>0</v>
      </c>
      <c r="M65" s="42">
        <f>IF(LEFT(Erfassung[[#This Row],[MWST-Code]],3)="VSM",Erfassung[[#This Row],[Steuer-Betrag CHF]],0)</f>
        <v>0</v>
      </c>
      <c r="N65" s="57">
        <f>IF(LEFT(Erfassung[[#This Row],[MWST-Code]],3)="VSB",Erfassung[[#This Row],[Steuer-Betrag CHF]],0)</f>
        <v>0</v>
      </c>
      <c r="O65" s="54"/>
      <c r="P65" s="54"/>
      <c r="Q65" s="54">
        <f>IF($I65=Konfiguration!$B$37,Erfassung[[#This Row],[Betrag CHF]],IF($I65="",Erfassung[[#This Row],[Betrag CHF]],0))</f>
        <v>0</v>
      </c>
      <c r="R65" s="54">
        <f>IF($I65=Konfiguration!$B$38,Erfassung[[#This Row],[Betrag CHF]],0)</f>
        <v>0</v>
      </c>
      <c r="S65" s="54">
        <f>IF($I65=Konfiguration!$B$39,Erfassung[[#This Row],[Betrag CHF]],0)</f>
        <v>0</v>
      </c>
      <c r="T65" s="54">
        <f>IF($I65=Konfiguration!$B$40,Erfassung[[#This Row],[Betrag CHF]],0)</f>
        <v>0</v>
      </c>
      <c r="U65" s="54">
        <f>IF($I65=Konfiguration!$B$41,Erfassung[[#This Row],[Betrag CHF]],0)</f>
        <v>0</v>
      </c>
      <c r="V65" s="54">
        <f>IF($I65=Konfiguration!$B$42,Erfassung[[#This Row],[Betrag CHF]],0)</f>
        <v>0</v>
      </c>
      <c r="W65" s="11"/>
      <c r="X65" s="11"/>
      <c r="Y65" s="11"/>
    </row>
    <row r="66" spans="1:25" s="5" customFormat="1" ht="10.5" x14ac:dyDescent="0.15">
      <c r="A66" s="38">
        <f t="shared" si="13"/>
        <v>58</v>
      </c>
      <c r="B66" s="27"/>
      <c r="C66" s="16"/>
      <c r="D66" s="16"/>
      <c r="E66" s="44"/>
      <c r="F66" s="35"/>
      <c r="G66" s="35"/>
      <c r="H66" s="16"/>
      <c r="I66" s="35"/>
      <c r="J66" s="43">
        <f t="shared" si="14"/>
        <v>0</v>
      </c>
      <c r="K66" s="43">
        <f t="shared" si="15"/>
        <v>0</v>
      </c>
      <c r="L66" s="43">
        <f t="shared" si="16"/>
        <v>0</v>
      </c>
      <c r="M66" s="43">
        <f>IF(LEFT(Erfassung[[#This Row],[MWST-Code]],3)="VSM",Erfassung[[#This Row],[Steuer-Betrag CHF]],0)</f>
        <v>0</v>
      </c>
      <c r="N66" s="58">
        <f>IF(LEFT(Erfassung[[#This Row],[MWST-Code]],3)="VSB",Erfassung[[#This Row],[Steuer-Betrag CHF]],0)</f>
        <v>0</v>
      </c>
      <c r="O66" s="54"/>
      <c r="P66" s="54"/>
      <c r="Q66" s="54">
        <f>IF($I66=Konfiguration!$B$37,Erfassung[[#This Row],[Betrag CHF]],IF($I66="",Erfassung[[#This Row],[Betrag CHF]],0))</f>
        <v>0</v>
      </c>
      <c r="R66" s="54">
        <f>IF($I66=Konfiguration!$B$38,Erfassung[[#This Row],[Betrag CHF]],0)</f>
        <v>0</v>
      </c>
      <c r="S66" s="54">
        <f>IF($I66=Konfiguration!$B$39,Erfassung[[#This Row],[Betrag CHF]],0)</f>
        <v>0</v>
      </c>
      <c r="T66" s="54">
        <f>IF($I66=Konfiguration!$B$40,Erfassung[[#This Row],[Betrag CHF]],0)</f>
        <v>0</v>
      </c>
      <c r="U66" s="54">
        <f>IF($I66=Konfiguration!$B$41,Erfassung[[#This Row],[Betrag CHF]],0)</f>
        <v>0</v>
      </c>
      <c r="V66" s="54">
        <f>IF($I66=Konfiguration!$B$42,Erfassung[[#This Row],[Betrag CHF]],0)</f>
        <v>0</v>
      </c>
      <c r="W66" s="11"/>
      <c r="X66" s="11"/>
      <c r="Y66" s="11"/>
    </row>
    <row r="67" spans="1:25" s="5" customFormat="1" ht="10.5" x14ac:dyDescent="0.15">
      <c r="A67" s="37">
        <f t="shared" si="9"/>
        <v>59</v>
      </c>
      <c r="B67" s="26"/>
      <c r="C67" s="15"/>
      <c r="D67" s="15"/>
      <c r="E67" s="41"/>
      <c r="F67" s="34"/>
      <c r="G67" s="34"/>
      <c r="H67" s="15"/>
      <c r="I67" s="34"/>
      <c r="J67" s="42">
        <f t="shared" si="10"/>
        <v>0</v>
      </c>
      <c r="K67" s="42">
        <f t="shared" si="11"/>
        <v>0</v>
      </c>
      <c r="L67" s="42">
        <f t="shared" si="12"/>
        <v>0</v>
      </c>
      <c r="M67" s="42">
        <f>IF(LEFT(Erfassung[[#This Row],[MWST-Code]],3)="VSM",Erfassung[[#This Row],[Steuer-Betrag CHF]],0)</f>
        <v>0</v>
      </c>
      <c r="N67" s="57">
        <f>IF(LEFT(Erfassung[[#This Row],[MWST-Code]],3)="VSB",Erfassung[[#This Row],[Steuer-Betrag CHF]],0)</f>
        <v>0</v>
      </c>
      <c r="O67" s="54"/>
      <c r="P67" s="54"/>
      <c r="Q67" s="54">
        <f>IF($I67=Konfiguration!$B$37,Erfassung[[#This Row],[Betrag CHF]],IF($I67="",Erfassung[[#This Row],[Betrag CHF]],0))</f>
        <v>0</v>
      </c>
      <c r="R67" s="54">
        <f>IF($I67=Konfiguration!$B$38,Erfassung[[#This Row],[Betrag CHF]],0)</f>
        <v>0</v>
      </c>
      <c r="S67" s="54">
        <f>IF($I67=Konfiguration!$B$39,Erfassung[[#This Row],[Betrag CHF]],0)</f>
        <v>0</v>
      </c>
      <c r="T67" s="54">
        <f>IF($I67=Konfiguration!$B$40,Erfassung[[#This Row],[Betrag CHF]],0)</f>
        <v>0</v>
      </c>
      <c r="U67" s="54">
        <f>IF($I67=Konfiguration!$B$41,Erfassung[[#This Row],[Betrag CHF]],0)</f>
        <v>0</v>
      </c>
      <c r="V67" s="54">
        <f>IF($I67=Konfiguration!$B$42,Erfassung[[#This Row],[Betrag CHF]],0)</f>
        <v>0</v>
      </c>
      <c r="W67" s="11"/>
      <c r="X67" s="11"/>
      <c r="Y67" s="11"/>
    </row>
    <row r="68" spans="1:25" s="5" customFormat="1" ht="10.5" x14ac:dyDescent="0.15">
      <c r="A68" s="38">
        <f t="shared" si="9"/>
        <v>60</v>
      </c>
      <c r="B68" s="27"/>
      <c r="C68" s="16"/>
      <c r="D68" s="16"/>
      <c r="E68" s="44"/>
      <c r="F68" s="35"/>
      <c r="G68" s="35"/>
      <c r="H68" s="16"/>
      <c r="I68" s="35"/>
      <c r="J68" s="43">
        <f t="shared" si="10"/>
        <v>0</v>
      </c>
      <c r="K68" s="43">
        <f t="shared" si="11"/>
        <v>0</v>
      </c>
      <c r="L68" s="43">
        <f t="shared" si="12"/>
        <v>0</v>
      </c>
      <c r="M68" s="43">
        <f>IF(LEFT(Erfassung[[#This Row],[MWST-Code]],3)="VSM",Erfassung[[#This Row],[Steuer-Betrag CHF]],0)</f>
        <v>0</v>
      </c>
      <c r="N68" s="58">
        <f>IF(LEFT(Erfassung[[#This Row],[MWST-Code]],3)="VSB",Erfassung[[#This Row],[Steuer-Betrag CHF]],0)</f>
        <v>0</v>
      </c>
      <c r="O68" s="54"/>
      <c r="P68" s="54"/>
      <c r="Q68" s="54">
        <f>IF($I68=Konfiguration!$B$37,Erfassung[[#This Row],[Betrag CHF]],IF($I68="",Erfassung[[#This Row],[Betrag CHF]],0))</f>
        <v>0</v>
      </c>
      <c r="R68" s="54">
        <f>IF($I68=Konfiguration!$B$38,Erfassung[[#This Row],[Betrag CHF]],0)</f>
        <v>0</v>
      </c>
      <c r="S68" s="54">
        <f>IF($I68=Konfiguration!$B$39,Erfassung[[#This Row],[Betrag CHF]],0)</f>
        <v>0</v>
      </c>
      <c r="T68" s="54">
        <f>IF($I68=Konfiguration!$B$40,Erfassung[[#This Row],[Betrag CHF]],0)</f>
        <v>0</v>
      </c>
      <c r="U68" s="54">
        <f>IF($I68=Konfiguration!$B$41,Erfassung[[#This Row],[Betrag CHF]],0)</f>
        <v>0</v>
      </c>
      <c r="V68" s="54">
        <f>IF($I68=Konfiguration!$B$42,Erfassung[[#This Row],[Betrag CHF]],0)</f>
        <v>0</v>
      </c>
      <c r="W68" s="11"/>
      <c r="X68" s="11"/>
      <c r="Y68" s="11"/>
    </row>
    <row r="69" spans="1:25" s="5" customFormat="1" ht="10.5" x14ac:dyDescent="0.15">
      <c r="A69" s="37">
        <f t="shared" si="9"/>
        <v>61</v>
      </c>
      <c r="B69" s="26"/>
      <c r="C69" s="15"/>
      <c r="D69" s="15"/>
      <c r="E69" s="41"/>
      <c r="F69" s="34"/>
      <c r="G69" s="34"/>
      <c r="H69" s="15"/>
      <c r="I69" s="34"/>
      <c r="J69" s="42">
        <f t="shared" si="10"/>
        <v>0</v>
      </c>
      <c r="K69" s="42">
        <f t="shared" si="11"/>
        <v>0</v>
      </c>
      <c r="L69" s="42">
        <f t="shared" si="12"/>
        <v>0</v>
      </c>
      <c r="M69" s="42">
        <f>IF(LEFT(Erfassung[[#This Row],[MWST-Code]],3)="VSM",Erfassung[[#This Row],[Steuer-Betrag CHF]],0)</f>
        <v>0</v>
      </c>
      <c r="N69" s="57">
        <f>IF(LEFT(Erfassung[[#This Row],[MWST-Code]],3)="VSB",Erfassung[[#This Row],[Steuer-Betrag CHF]],0)</f>
        <v>0</v>
      </c>
      <c r="O69" s="54"/>
      <c r="P69" s="54"/>
      <c r="Q69" s="54">
        <f>IF($I69=Konfiguration!$B$37,Erfassung[[#This Row],[Betrag CHF]],IF($I69="",Erfassung[[#This Row],[Betrag CHF]],0))</f>
        <v>0</v>
      </c>
      <c r="R69" s="54">
        <f>IF($I69=Konfiguration!$B$38,Erfassung[[#This Row],[Betrag CHF]],0)</f>
        <v>0</v>
      </c>
      <c r="S69" s="54">
        <f>IF($I69=Konfiguration!$B$39,Erfassung[[#This Row],[Betrag CHF]],0)</f>
        <v>0</v>
      </c>
      <c r="T69" s="54">
        <f>IF($I69=Konfiguration!$B$40,Erfassung[[#This Row],[Betrag CHF]],0)</f>
        <v>0</v>
      </c>
      <c r="U69" s="54">
        <f>IF($I69=Konfiguration!$B$41,Erfassung[[#This Row],[Betrag CHF]],0)</f>
        <v>0</v>
      </c>
      <c r="V69" s="54">
        <f>IF($I69=Konfiguration!$B$42,Erfassung[[#This Row],[Betrag CHF]],0)</f>
        <v>0</v>
      </c>
      <c r="W69" s="11"/>
      <c r="X69" s="11"/>
      <c r="Y69" s="11"/>
    </row>
    <row r="70" spans="1:25" s="5" customFormat="1" ht="10.5" x14ac:dyDescent="0.15">
      <c r="A70" s="40">
        <f t="shared" si="9"/>
        <v>62</v>
      </c>
      <c r="B70" s="27"/>
      <c r="C70" s="16"/>
      <c r="D70" s="16"/>
      <c r="E70" s="44"/>
      <c r="F70" s="35"/>
      <c r="G70" s="35"/>
      <c r="H70" s="16"/>
      <c r="I70" s="35"/>
      <c r="J70" s="43">
        <f t="shared" si="10"/>
        <v>0</v>
      </c>
      <c r="K70" s="43">
        <f t="shared" si="11"/>
        <v>0</v>
      </c>
      <c r="L70" s="43">
        <f t="shared" si="12"/>
        <v>0</v>
      </c>
      <c r="M70" s="43">
        <f>IF(LEFT(Erfassung[[#This Row],[MWST-Code]],3)="VSM",Erfassung[[#This Row],[Steuer-Betrag CHF]],0)</f>
        <v>0</v>
      </c>
      <c r="N70" s="58">
        <f>IF(LEFT(Erfassung[[#This Row],[MWST-Code]],3)="VSB",Erfassung[[#This Row],[Steuer-Betrag CHF]],0)</f>
        <v>0</v>
      </c>
      <c r="O70" s="54"/>
      <c r="P70" s="54"/>
      <c r="Q70" s="54">
        <f>IF($I70=Konfiguration!$B$37,Erfassung[[#This Row],[Betrag CHF]],IF($I70="",Erfassung[[#This Row],[Betrag CHF]],0))</f>
        <v>0</v>
      </c>
      <c r="R70" s="54">
        <f>IF($I70=Konfiguration!$B$38,Erfassung[[#This Row],[Betrag CHF]],0)</f>
        <v>0</v>
      </c>
      <c r="S70" s="54">
        <f>IF($I70=Konfiguration!$B$39,Erfassung[[#This Row],[Betrag CHF]],0)</f>
        <v>0</v>
      </c>
      <c r="T70" s="54">
        <f>IF($I70=Konfiguration!$B$40,Erfassung[[#This Row],[Betrag CHF]],0)</f>
        <v>0</v>
      </c>
      <c r="U70" s="54">
        <f>IF($I70=Konfiguration!$B$41,Erfassung[[#This Row],[Betrag CHF]],0)</f>
        <v>0</v>
      </c>
      <c r="V70" s="54">
        <f>IF($I70=Konfiguration!$B$42,Erfassung[[#This Row],[Betrag CHF]],0)</f>
        <v>0</v>
      </c>
      <c r="W70" s="11"/>
      <c r="X70" s="11"/>
      <c r="Y70" s="11"/>
    </row>
    <row r="71" spans="1:25" s="5" customFormat="1" ht="10.5" x14ac:dyDescent="0.15">
      <c r="A71" s="39">
        <f t="shared" ref="A71:A73" si="21" xml:space="preserve"> ROW()-8</f>
        <v>63</v>
      </c>
      <c r="B71" s="26"/>
      <c r="C71" s="15"/>
      <c r="D71" s="15"/>
      <c r="E71" s="41"/>
      <c r="F71" s="34"/>
      <c r="G71" s="34"/>
      <c r="H71" s="15"/>
      <c r="I71" s="34"/>
      <c r="J71" s="42">
        <f t="shared" si="10"/>
        <v>0</v>
      </c>
      <c r="K71" s="42">
        <f t="shared" si="11"/>
        <v>0</v>
      </c>
      <c r="L71" s="42">
        <f t="shared" ref="L71:L73" si="22">J71-K71</f>
        <v>0</v>
      </c>
      <c r="M71" s="42">
        <f>IF(LEFT(Erfassung[[#This Row],[MWST-Code]],3)="VSM",Erfassung[[#This Row],[Steuer-Betrag CHF]],0)</f>
        <v>0</v>
      </c>
      <c r="N71" s="57">
        <f>IF(LEFT(Erfassung[[#This Row],[MWST-Code]],3)="VSB",Erfassung[[#This Row],[Steuer-Betrag CHF]],0)</f>
        <v>0</v>
      </c>
      <c r="O71" s="54"/>
      <c r="P71" s="54"/>
      <c r="Q71" s="54">
        <f>IF($I71=Konfiguration!$B$37,Erfassung[[#This Row],[Betrag CHF]],IF($I71="",Erfassung[[#This Row],[Betrag CHF]],0))</f>
        <v>0</v>
      </c>
      <c r="R71" s="54">
        <f>IF($I71=Konfiguration!$B$38,Erfassung[[#This Row],[Betrag CHF]],0)</f>
        <v>0</v>
      </c>
      <c r="S71" s="54">
        <f>IF($I71=Konfiguration!$B$39,Erfassung[[#This Row],[Betrag CHF]],0)</f>
        <v>0</v>
      </c>
      <c r="T71" s="54">
        <f>IF($I71=Konfiguration!$B$40,Erfassung[[#This Row],[Betrag CHF]],0)</f>
        <v>0</v>
      </c>
      <c r="U71" s="54">
        <f>IF($I71=Konfiguration!$B$41,Erfassung[[#This Row],[Betrag CHF]],0)</f>
        <v>0</v>
      </c>
      <c r="V71" s="54">
        <f>IF($I71=Konfiguration!$B$42,Erfassung[[#This Row],[Betrag CHF]],0)</f>
        <v>0</v>
      </c>
      <c r="W71" s="11"/>
      <c r="X71" s="11"/>
      <c r="Y71" s="11"/>
    </row>
    <row r="72" spans="1:25" s="5" customFormat="1" ht="10.5" x14ac:dyDescent="0.15">
      <c r="A72" s="38">
        <f t="shared" si="21"/>
        <v>64</v>
      </c>
      <c r="B72" s="27"/>
      <c r="C72" s="16"/>
      <c r="D72" s="16"/>
      <c r="E72" s="44"/>
      <c r="F72" s="35"/>
      <c r="G72" s="35"/>
      <c r="H72" s="16"/>
      <c r="I72" s="35"/>
      <c r="J72" s="43">
        <f t="shared" si="10"/>
        <v>0</v>
      </c>
      <c r="K72" s="43">
        <f t="shared" si="11"/>
        <v>0</v>
      </c>
      <c r="L72" s="43">
        <f t="shared" si="22"/>
        <v>0</v>
      </c>
      <c r="M72" s="43">
        <f>IF(LEFT(Erfassung[[#This Row],[MWST-Code]],3)="VSM",Erfassung[[#This Row],[Steuer-Betrag CHF]],0)</f>
        <v>0</v>
      </c>
      <c r="N72" s="58">
        <f>IF(LEFT(Erfassung[[#This Row],[MWST-Code]],3)="VSB",Erfassung[[#This Row],[Steuer-Betrag CHF]],0)</f>
        <v>0</v>
      </c>
      <c r="O72" s="54"/>
      <c r="P72" s="54"/>
      <c r="Q72" s="54">
        <f>IF($I72=Konfiguration!$B$37,Erfassung[[#This Row],[Betrag CHF]],IF($I72="",Erfassung[[#This Row],[Betrag CHF]],0))</f>
        <v>0</v>
      </c>
      <c r="R72" s="54">
        <f>IF($I72=Konfiguration!$B$38,Erfassung[[#This Row],[Betrag CHF]],0)</f>
        <v>0</v>
      </c>
      <c r="S72" s="54">
        <f>IF($I72=Konfiguration!$B$39,Erfassung[[#This Row],[Betrag CHF]],0)</f>
        <v>0</v>
      </c>
      <c r="T72" s="54">
        <f>IF($I72=Konfiguration!$B$40,Erfassung[[#This Row],[Betrag CHF]],0)</f>
        <v>0</v>
      </c>
      <c r="U72" s="54">
        <f>IF($I72=Konfiguration!$B$41,Erfassung[[#This Row],[Betrag CHF]],0)</f>
        <v>0</v>
      </c>
      <c r="V72" s="54">
        <f>IF($I72=Konfiguration!$B$42,Erfassung[[#This Row],[Betrag CHF]],0)</f>
        <v>0</v>
      </c>
      <c r="W72" s="11"/>
      <c r="X72" s="11"/>
      <c r="Y72" s="11"/>
    </row>
    <row r="73" spans="1:25" s="5" customFormat="1" ht="10.5" x14ac:dyDescent="0.15">
      <c r="A73" s="37">
        <f t="shared" si="21"/>
        <v>65</v>
      </c>
      <c r="B73" s="26"/>
      <c r="C73" s="15"/>
      <c r="D73" s="15"/>
      <c r="E73" s="41"/>
      <c r="F73" s="34"/>
      <c r="G73" s="34"/>
      <c r="H73" s="15"/>
      <c r="I73" s="34"/>
      <c r="J73" s="42">
        <f t="shared" si="10"/>
        <v>0</v>
      </c>
      <c r="K73" s="42">
        <f t="shared" si="11"/>
        <v>0</v>
      </c>
      <c r="L73" s="42">
        <f t="shared" si="22"/>
        <v>0</v>
      </c>
      <c r="M73" s="42">
        <f>IF(LEFT(Erfassung[[#This Row],[MWST-Code]],3)="VSM",Erfassung[[#This Row],[Steuer-Betrag CHF]],0)</f>
        <v>0</v>
      </c>
      <c r="N73" s="57">
        <f>IF(LEFT(Erfassung[[#This Row],[MWST-Code]],3)="VSB",Erfassung[[#This Row],[Steuer-Betrag CHF]],0)</f>
        <v>0</v>
      </c>
      <c r="O73" s="54"/>
      <c r="P73" s="54"/>
      <c r="Q73" s="54">
        <f>IF($I73=Konfiguration!$B$37,Erfassung[[#This Row],[Betrag CHF]],IF($I73="",Erfassung[[#This Row],[Betrag CHF]],0))</f>
        <v>0</v>
      </c>
      <c r="R73" s="54">
        <f>IF($I73=Konfiguration!$B$38,Erfassung[[#This Row],[Betrag CHF]],0)</f>
        <v>0</v>
      </c>
      <c r="S73" s="54">
        <f>IF($I73=Konfiguration!$B$39,Erfassung[[#This Row],[Betrag CHF]],0)</f>
        <v>0</v>
      </c>
      <c r="T73" s="54">
        <f>IF($I73=Konfiguration!$B$40,Erfassung[[#This Row],[Betrag CHF]],0)</f>
        <v>0</v>
      </c>
      <c r="U73" s="54">
        <f>IF($I73=Konfiguration!$B$41,Erfassung[[#This Row],[Betrag CHF]],0)</f>
        <v>0</v>
      </c>
      <c r="V73" s="54">
        <f>IF($I73=Konfiguration!$B$42,Erfassung[[#This Row],[Betrag CHF]],0)</f>
        <v>0</v>
      </c>
      <c r="W73" s="11"/>
      <c r="X73" s="11"/>
      <c r="Y73" s="11"/>
    </row>
    <row r="74" spans="1:25" s="5" customFormat="1" ht="10.5" x14ac:dyDescent="0.15">
      <c r="A74" s="38">
        <f t="shared" si="0"/>
        <v>66</v>
      </c>
      <c r="B74" s="27"/>
      <c r="C74" s="16"/>
      <c r="D74" s="16"/>
      <c r="E74" s="44"/>
      <c r="F74" s="35"/>
      <c r="G74" s="35"/>
      <c r="H74" s="16"/>
      <c r="I74" s="35"/>
      <c r="J74" s="43">
        <f t="shared" si="1"/>
        <v>0</v>
      </c>
      <c r="K74" s="43">
        <f t="shared" si="2"/>
        <v>0</v>
      </c>
      <c r="L74" s="43">
        <f t="shared" si="3"/>
        <v>0</v>
      </c>
      <c r="M74" s="43">
        <f>IF(LEFT(Erfassung[[#This Row],[MWST-Code]],3)="VSM",Erfassung[[#This Row],[Steuer-Betrag CHF]],0)</f>
        <v>0</v>
      </c>
      <c r="N74" s="58">
        <f>IF(LEFT(Erfassung[[#This Row],[MWST-Code]],3)="VSB",Erfassung[[#This Row],[Steuer-Betrag CHF]],0)</f>
        <v>0</v>
      </c>
      <c r="O74" s="54"/>
      <c r="P74" s="54"/>
      <c r="Q74" s="54">
        <f>IF($I74=Konfiguration!$B$37,Erfassung[[#This Row],[Betrag CHF]],IF($I74="",Erfassung[[#This Row],[Betrag CHF]],0))</f>
        <v>0</v>
      </c>
      <c r="R74" s="54">
        <f>IF($I74=Konfiguration!$B$38,Erfassung[[#This Row],[Betrag CHF]],0)</f>
        <v>0</v>
      </c>
      <c r="S74" s="54">
        <f>IF($I74=Konfiguration!$B$39,Erfassung[[#This Row],[Betrag CHF]],0)</f>
        <v>0</v>
      </c>
      <c r="T74" s="54">
        <f>IF($I74=Konfiguration!$B$40,Erfassung[[#This Row],[Betrag CHF]],0)</f>
        <v>0</v>
      </c>
      <c r="U74" s="54">
        <f>IF($I74=Konfiguration!$B$41,Erfassung[[#This Row],[Betrag CHF]],0)</f>
        <v>0</v>
      </c>
      <c r="V74" s="54">
        <f>IF($I74=Konfiguration!$B$42,Erfassung[[#This Row],[Betrag CHF]],0)</f>
        <v>0</v>
      </c>
      <c r="W74" s="11"/>
      <c r="X74" s="11"/>
      <c r="Y74" s="11"/>
    </row>
    <row r="75" spans="1:25" s="5" customFormat="1" ht="10.5" x14ac:dyDescent="0.15">
      <c r="A75" s="37">
        <f t="shared" si="0"/>
        <v>67</v>
      </c>
      <c r="B75" s="26"/>
      <c r="C75" s="15"/>
      <c r="D75" s="15"/>
      <c r="E75" s="41"/>
      <c r="F75" s="34"/>
      <c r="G75" s="34"/>
      <c r="H75" s="15"/>
      <c r="I75" s="34"/>
      <c r="J75" s="42">
        <f t="shared" si="1"/>
        <v>0</v>
      </c>
      <c r="K75" s="42">
        <f t="shared" si="2"/>
        <v>0</v>
      </c>
      <c r="L75" s="42">
        <f t="shared" si="3"/>
        <v>0</v>
      </c>
      <c r="M75" s="42">
        <f>IF(LEFT(Erfassung[[#This Row],[MWST-Code]],3)="VSM",Erfassung[[#This Row],[Steuer-Betrag CHF]],0)</f>
        <v>0</v>
      </c>
      <c r="N75" s="57">
        <f>IF(LEFT(Erfassung[[#This Row],[MWST-Code]],3)="VSB",Erfassung[[#This Row],[Steuer-Betrag CHF]],0)</f>
        <v>0</v>
      </c>
      <c r="O75" s="54">
        <f>VLOOKUP(IF(I75="","ohne",I75),Konfiguration!$B$37:$C$42,2,FALSE)</f>
        <v>0</v>
      </c>
      <c r="P75" s="54">
        <f t="shared" si="4"/>
        <v>0</v>
      </c>
      <c r="Q75" s="54">
        <f>IF($I75=Konfiguration!$B$37,Erfassung[[#This Row],[Betrag CHF]],IF($I75="",Erfassung[[#This Row],[Betrag CHF]],0))</f>
        <v>0</v>
      </c>
      <c r="R75" s="54">
        <f>IF($I75=Konfiguration!$B$38,Erfassung[[#This Row],[Betrag CHF]],0)</f>
        <v>0</v>
      </c>
      <c r="S75" s="54">
        <f>IF($I75=Konfiguration!$B$39,Erfassung[[#This Row],[Betrag CHF]],0)</f>
        <v>0</v>
      </c>
      <c r="T75" s="54">
        <f>IF($I75=Konfiguration!$B$40,Erfassung[[#This Row],[Betrag CHF]],0)</f>
        <v>0</v>
      </c>
      <c r="U75" s="54">
        <f>IF($I75=Konfiguration!$B$41,Erfassung[[#This Row],[Betrag CHF]],0)</f>
        <v>0</v>
      </c>
      <c r="V75" s="54">
        <f>IF($I75=Konfiguration!$B$42,Erfassung[[#This Row],[Betrag CHF]],0)</f>
        <v>0</v>
      </c>
      <c r="W75" s="11"/>
      <c r="X75" s="11"/>
      <c r="Y75" s="11"/>
    </row>
    <row r="76" spans="1:25" s="5" customFormat="1" ht="10.5" x14ac:dyDescent="0.15">
      <c r="A76" s="38">
        <f t="shared" si="0"/>
        <v>68</v>
      </c>
      <c r="B76" s="27"/>
      <c r="C76" s="16"/>
      <c r="D76" s="16"/>
      <c r="E76" s="44"/>
      <c r="F76" s="35"/>
      <c r="G76" s="35"/>
      <c r="H76" s="16"/>
      <c r="I76" s="35"/>
      <c r="J76" s="43">
        <f>IF(F76="",IF(Rundung,ROUND(E76/5,2)*5,E76),IF(Rundung, ROUND(E76*G76/5,2)*5,E76*G76))</f>
        <v>0</v>
      </c>
      <c r="K76" s="43">
        <f>IF(J76&lt;&gt;0,IF(Rundung,ROUND(J76*P76/5,2)*5,J76*P76),0)</f>
        <v>0</v>
      </c>
      <c r="L76" s="43">
        <f>J76-K76</f>
        <v>0</v>
      </c>
      <c r="M76" s="43">
        <f>IF(LEFT(Erfassung[[#This Row],[MWST-Code]],3)="VSM",Erfassung[[#This Row],[Steuer-Betrag CHF]],0)</f>
        <v>0</v>
      </c>
      <c r="N76" s="58">
        <f>IF(LEFT(Erfassung[[#This Row],[MWST-Code]],3)="VSB",Erfassung[[#This Row],[Steuer-Betrag CHF]],0)</f>
        <v>0</v>
      </c>
      <c r="O76" s="54"/>
      <c r="P76" s="54"/>
      <c r="Q76" s="54">
        <f>IF($I76=Konfiguration!$B$37,Erfassung[[#This Row],[Betrag CHF]],IF($I76="",Erfassung[[#This Row],[Betrag CHF]],0))</f>
        <v>0</v>
      </c>
      <c r="R76" s="54">
        <f>IF($I76=Konfiguration!$B$38,Erfassung[[#This Row],[Betrag CHF]],0)</f>
        <v>0</v>
      </c>
      <c r="S76" s="54">
        <f>IF($I76=Konfiguration!$B$39,Erfassung[[#This Row],[Betrag CHF]],0)</f>
        <v>0</v>
      </c>
      <c r="T76" s="54">
        <f>IF($I76=Konfiguration!$B$40,Erfassung[[#This Row],[Betrag CHF]],0)</f>
        <v>0</v>
      </c>
      <c r="U76" s="54">
        <f>IF($I76=Konfiguration!$B$41,Erfassung[[#This Row],[Betrag CHF]],0)</f>
        <v>0</v>
      </c>
      <c r="V76" s="54">
        <f>IF($I76=Konfiguration!$B$42,Erfassung[[#This Row],[Betrag CHF]],0)</f>
        <v>0</v>
      </c>
      <c r="W76" s="11"/>
      <c r="X76" s="11"/>
      <c r="Y76" s="11"/>
    </row>
    <row r="77" spans="1:25" s="5" customFormat="1" ht="10.5" x14ac:dyDescent="0.15">
      <c r="A77" s="37">
        <f t="shared" si="0"/>
        <v>69</v>
      </c>
      <c r="B77" s="26"/>
      <c r="C77" s="15"/>
      <c r="D77" s="15"/>
      <c r="E77" s="41"/>
      <c r="F77" s="34"/>
      <c r="G77" s="34"/>
      <c r="H77" s="15"/>
      <c r="I77" s="34"/>
      <c r="J77" s="42">
        <f t="shared" si="1"/>
        <v>0</v>
      </c>
      <c r="K77" s="42">
        <f t="shared" si="2"/>
        <v>0</v>
      </c>
      <c r="L77" s="42">
        <f t="shared" si="3"/>
        <v>0</v>
      </c>
      <c r="M77" s="42">
        <f>IF(LEFT(Erfassung[[#This Row],[MWST-Code]],3)="VSM",Erfassung[[#This Row],[Steuer-Betrag CHF]],0)</f>
        <v>0</v>
      </c>
      <c r="N77" s="57">
        <f>IF(LEFT(Erfassung[[#This Row],[MWST-Code]],3)="VSB",Erfassung[[#This Row],[Steuer-Betrag CHF]],0)</f>
        <v>0</v>
      </c>
      <c r="O77" s="54">
        <f>VLOOKUP(IF(I77="","ohne",I77),Konfiguration!$B$37:$C$42,2,FALSE)</f>
        <v>0</v>
      </c>
      <c r="P77" s="54">
        <f t="shared" si="4"/>
        <v>0</v>
      </c>
      <c r="Q77" s="54">
        <f>IF($I77=Konfiguration!$B$37,Erfassung[[#This Row],[Betrag CHF]],IF($I77="",Erfassung[[#This Row],[Betrag CHF]],0))</f>
        <v>0</v>
      </c>
      <c r="R77" s="54">
        <f>IF($I77=Konfiguration!$B$38,Erfassung[[#This Row],[Betrag CHF]],0)</f>
        <v>0</v>
      </c>
      <c r="S77" s="54">
        <f>IF($I77=Konfiguration!$B$39,Erfassung[[#This Row],[Betrag CHF]],0)</f>
        <v>0</v>
      </c>
      <c r="T77" s="54">
        <f>IF($I77=Konfiguration!$B$40,Erfassung[[#This Row],[Betrag CHF]],0)</f>
        <v>0</v>
      </c>
      <c r="U77" s="54">
        <f>IF($I77=Konfiguration!$B$41,Erfassung[[#This Row],[Betrag CHF]],0)</f>
        <v>0</v>
      </c>
      <c r="V77" s="54">
        <f>IF($I77=Konfiguration!$B$42,Erfassung[[#This Row],[Betrag CHF]],0)</f>
        <v>0</v>
      </c>
      <c r="W77" s="11"/>
      <c r="X77" s="11"/>
      <c r="Y77" s="11"/>
    </row>
    <row r="78" spans="1:25" s="5" customFormat="1" ht="10.5" x14ac:dyDescent="0.15">
      <c r="A78" s="38">
        <f t="shared" si="0"/>
        <v>70</v>
      </c>
      <c r="B78" s="27"/>
      <c r="C78" s="16"/>
      <c r="D78" s="16"/>
      <c r="E78" s="44"/>
      <c r="F78" s="35"/>
      <c r="G78" s="35"/>
      <c r="H78" s="16"/>
      <c r="I78" s="35"/>
      <c r="J78" s="67">
        <f t="shared" si="1"/>
        <v>0</v>
      </c>
      <c r="K78" s="67">
        <f t="shared" si="2"/>
        <v>0</v>
      </c>
      <c r="L78" s="67">
        <f t="shared" si="3"/>
        <v>0</v>
      </c>
      <c r="M78" s="67">
        <f>IF(LEFT(Erfassung[[#This Row],[MWST-Code]],3)="VSM",Erfassung[[#This Row],[Steuer-Betrag CHF]],0)</f>
        <v>0</v>
      </c>
      <c r="N78" s="68">
        <f>IF(LEFT(Erfassung[[#This Row],[MWST-Code]],3)="VSB",Erfassung[[#This Row],[Steuer-Betrag CHF]],0)</f>
        <v>0</v>
      </c>
      <c r="O78" s="54">
        <f>VLOOKUP(IF(I78="","ohne",I78),Konfiguration!$B$37:$C$42,2,FALSE)</f>
        <v>0</v>
      </c>
      <c r="P78" s="54">
        <f t="shared" si="4"/>
        <v>0</v>
      </c>
      <c r="Q78" s="54">
        <f>IF($I78=Konfiguration!$B$37,Erfassung[[#This Row],[Betrag CHF]],IF($I78="",Erfassung[[#This Row],[Betrag CHF]],0))</f>
        <v>0</v>
      </c>
      <c r="R78" s="54">
        <f>IF($I78=Konfiguration!$B$38,Erfassung[[#This Row],[Betrag CHF]],0)</f>
        <v>0</v>
      </c>
      <c r="S78" s="54">
        <f>IF($I78=Konfiguration!$B$39,Erfassung[[#This Row],[Betrag CHF]],0)</f>
        <v>0</v>
      </c>
      <c r="T78" s="54">
        <f>IF($I78=Konfiguration!$B$40,Erfassung[[#This Row],[Betrag CHF]],0)</f>
        <v>0</v>
      </c>
      <c r="U78" s="54">
        <f>IF($I78=Konfiguration!$B$41,Erfassung[[#This Row],[Betrag CHF]],0)</f>
        <v>0</v>
      </c>
      <c r="V78" s="54">
        <f>IF($I78=Konfiguration!$B$42,Erfassung[[#This Row],[Betrag CHF]],0)</f>
        <v>0</v>
      </c>
      <c r="W78" s="11"/>
      <c r="X78" s="11"/>
      <c r="Y78" s="11"/>
    </row>
    <row r="79" spans="1:25" s="11" customFormat="1" ht="5.0999999999999996" customHeight="1" x14ac:dyDescent="0.15">
      <c r="B79" s="31"/>
      <c r="F79" s="31"/>
      <c r="G79" s="31"/>
      <c r="I79" s="31"/>
    </row>
    <row r="80" spans="1:25" s="6" customFormat="1" x14ac:dyDescent="0.3">
      <c r="B80" s="18"/>
      <c r="F80" s="18"/>
      <c r="G80" s="18"/>
      <c r="H80" s="74" t="s">
        <v>68</v>
      </c>
      <c r="I80" s="18"/>
      <c r="J80" s="70">
        <f t="shared" ref="J80:V80" si="23">SUM(J9:J79)</f>
        <v>508.16640000000001</v>
      </c>
      <c r="K80" s="69">
        <f t="shared" si="23"/>
        <v>33.400887741467947</v>
      </c>
      <c r="L80" s="69">
        <f t="shared" si="23"/>
        <v>474.76551225853206</v>
      </c>
      <c r="M80" s="69">
        <f t="shared" si="23"/>
        <v>32.172701949860731</v>
      </c>
      <c r="N80" s="69">
        <f t="shared" si="23"/>
        <v>1.2281857916072196</v>
      </c>
      <c r="O80" s="66">
        <f t="shared" si="23"/>
        <v>0.17899999999999999</v>
      </c>
      <c r="P80" s="66">
        <f t="shared" si="23"/>
        <v>0.16738003034626447</v>
      </c>
      <c r="Q80" s="66">
        <f t="shared" si="23"/>
        <v>37.166399999999996</v>
      </c>
      <c r="R80" s="66">
        <f t="shared" si="23"/>
        <v>450</v>
      </c>
      <c r="S80" s="66">
        <f t="shared" si="23"/>
        <v>0</v>
      </c>
      <c r="T80" s="66">
        <f t="shared" si="23"/>
        <v>15.2</v>
      </c>
      <c r="U80" s="66">
        <f t="shared" si="23"/>
        <v>5.8</v>
      </c>
      <c r="V80" s="66">
        <f t="shared" si="23"/>
        <v>0</v>
      </c>
    </row>
    <row r="81" spans="2:9" s="6" customFormat="1" x14ac:dyDescent="0.3">
      <c r="B81" s="18"/>
      <c r="F81" s="18"/>
      <c r="G81" s="18"/>
      <c r="I81" s="18"/>
    </row>
    <row r="82" spans="2:9" s="6" customFormat="1" x14ac:dyDescent="0.3">
      <c r="B82" s="18"/>
      <c r="F82" s="18"/>
      <c r="G82" s="18"/>
      <c r="I82" s="18"/>
    </row>
    <row r="83" spans="2:9" s="6" customFormat="1" x14ac:dyDescent="0.3">
      <c r="B83" s="18"/>
      <c r="F83" s="18"/>
      <c r="G83" s="18"/>
      <c r="I83" s="18"/>
    </row>
    <row r="84" spans="2:9" s="6" customFormat="1" x14ac:dyDescent="0.3">
      <c r="B84" s="18"/>
      <c r="F84" s="18"/>
      <c r="G84" s="18"/>
      <c r="I84" s="18"/>
    </row>
    <row r="85" spans="2:9" s="6" customFormat="1" x14ac:dyDescent="0.3">
      <c r="B85" s="18"/>
      <c r="F85" s="18"/>
      <c r="G85" s="18"/>
      <c r="I85" s="18"/>
    </row>
    <row r="86" spans="2:9" s="6" customFormat="1" x14ac:dyDescent="0.3">
      <c r="B86" s="18"/>
      <c r="F86" s="18"/>
      <c r="G86" s="18"/>
      <c r="I86" s="18"/>
    </row>
    <row r="87" spans="2:9" s="6" customFormat="1" x14ac:dyDescent="0.3">
      <c r="B87" s="18"/>
      <c r="F87" s="18"/>
      <c r="G87" s="18"/>
      <c r="I87" s="18"/>
    </row>
    <row r="88" spans="2:9" s="6" customFormat="1" x14ac:dyDescent="0.3">
      <c r="B88" s="18"/>
      <c r="F88" s="18"/>
      <c r="G88" s="18"/>
      <c r="I88" s="18"/>
    </row>
    <row r="89" spans="2:9" s="6" customFormat="1" x14ac:dyDescent="0.3">
      <c r="B89" s="18"/>
      <c r="F89" s="18"/>
      <c r="G89" s="18"/>
      <c r="I89" s="18"/>
    </row>
    <row r="90" spans="2:9" s="6" customFormat="1" x14ac:dyDescent="0.3">
      <c r="B90" s="18"/>
      <c r="F90" s="18"/>
      <c r="G90" s="18"/>
      <c r="I90" s="18"/>
    </row>
    <row r="91" spans="2:9" s="6" customFormat="1" x14ac:dyDescent="0.3">
      <c r="B91" s="18"/>
      <c r="F91" s="18"/>
      <c r="G91" s="18"/>
      <c r="I91" s="18"/>
    </row>
    <row r="92" spans="2:9" s="6" customFormat="1" x14ac:dyDescent="0.3">
      <c r="B92" s="18"/>
      <c r="F92" s="18"/>
      <c r="G92" s="18"/>
      <c r="I92" s="18"/>
    </row>
    <row r="93" spans="2:9" s="6" customFormat="1" x14ac:dyDescent="0.3">
      <c r="B93" s="18"/>
      <c r="F93" s="18"/>
      <c r="G93" s="18"/>
      <c r="I93" s="18"/>
    </row>
    <row r="94" spans="2:9" s="6" customFormat="1" x14ac:dyDescent="0.3">
      <c r="B94" s="18"/>
      <c r="F94" s="18"/>
      <c r="G94" s="18"/>
      <c r="I94" s="18"/>
    </row>
    <row r="95" spans="2:9" s="6" customFormat="1" x14ac:dyDescent="0.3">
      <c r="B95" s="18"/>
      <c r="F95" s="18"/>
      <c r="G95" s="18"/>
      <c r="I95" s="18"/>
    </row>
    <row r="96" spans="2:9" s="6" customFormat="1" x14ac:dyDescent="0.3">
      <c r="B96" s="18"/>
      <c r="F96" s="18"/>
      <c r="G96" s="18"/>
      <c r="I96" s="18"/>
    </row>
    <row r="97" spans="2:9" s="6" customFormat="1" x14ac:dyDescent="0.3">
      <c r="B97" s="18"/>
      <c r="F97" s="18"/>
      <c r="G97" s="18"/>
      <c r="I97" s="18"/>
    </row>
    <row r="98" spans="2:9" s="6" customFormat="1" x14ac:dyDescent="0.3">
      <c r="B98" s="18"/>
      <c r="F98" s="18"/>
      <c r="G98" s="18"/>
      <c r="I98" s="18"/>
    </row>
    <row r="99" spans="2:9" s="6" customFormat="1" x14ac:dyDescent="0.3">
      <c r="B99" s="18"/>
      <c r="F99" s="18"/>
      <c r="G99" s="18"/>
      <c r="I99" s="18"/>
    </row>
    <row r="100" spans="2:9" s="6" customFormat="1" x14ac:dyDescent="0.3">
      <c r="B100" s="18"/>
      <c r="F100" s="18"/>
      <c r="G100" s="18"/>
      <c r="I100" s="18"/>
    </row>
    <row r="101" spans="2:9" s="6" customFormat="1" x14ac:dyDescent="0.3">
      <c r="B101" s="18"/>
      <c r="F101" s="18"/>
      <c r="G101" s="18"/>
      <c r="I101" s="18"/>
    </row>
    <row r="102" spans="2:9" s="6" customFormat="1" x14ac:dyDescent="0.3">
      <c r="B102" s="18"/>
      <c r="F102" s="18"/>
      <c r="G102" s="18"/>
      <c r="I102" s="18"/>
    </row>
    <row r="103" spans="2:9" s="6" customFormat="1" x14ac:dyDescent="0.3">
      <c r="B103" s="18"/>
      <c r="F103" s="18"/>
      <c r="G103" s="18"/>
      <c r="I103" s="18"/>
    </row>
    <row r="104" spans="2:9" s="6" customFormat="1" x14ac:dyDescent="0.3">
      <c r="B104" s="18"/>
      <c r="F104" s="18"/>
      <c r="G104" s="18"/>
      <c r="I104" s="18"/>
    </row>
    <row r="105" spans="2:9" s="6" customFormat="1" x14ac:dyDescent="0.3">
      <c r="B105" s="18"/>
      <c r="F105" s="18"/>
      <c r="G105" s="18"/>
      <c r="I105" s="18"/>
    </row>
    <row r="106" spans="2:9" s="6" customFormat="1" x14ac:dyDescent="0.3">
      <c r="B106" s="18"/>
      <c r="F106" s="18"/>
      <c r="G106" s="18"/>
      <c r="I106" s="18"/>
    </row>
    <row r="107" spans="2:9" s="6" customFormat="1" x14ac:dyDescent="0.3">
      <c r="B107" s="18"/>
      <c r="F107" s="18"/>
      <c r="G107" s="18"/>
      <c r="I107" s="18"/>
    </row>
    <row r="108" spans="2:9" s="6" customFormat="1" x14ac:dyDescent="0.3">
      <c r="B108" s="18"/>
      <c r="F108" s="18"/>
      <c r="G108" s="18"/>
      <c r="I108" s="18"/>
    </row>
    <row r="109" spans="2:9" s="6" customFormat="1" x14ac:dyDescent="0.3">
      <c r="B109" s="18"/>
      <c r="F109" s="18"/>
      <c r="G109" s="18"/>
      <c r="I109" s="18"/>
    </row>
    <row r="110" spans="2:9" s="6" customFormat="1" x14ac:dyDescent="0.3">
      <c r="B110" s="18"/>
      <c r="F110" s="18"/>
      <c r="G110" s="18"/>
      <c r="I110" s="18"/>
    </row>
    <row r="111" spans="2:9" s="6" customFormat="1" x14ac:dyDescent="0.3">
      <c r="B111" s="18"/>
      <c r="F111" s="18"/>
      <c r="G111" s="18"/>
      <c r="I111" s="18"/>
    </row>
    <row r="112" spans="2:9" s="6" customFormat="1" x14ac:dyDescent="0.3">
      <c r="B112" s="18"/>
      <c r="F112" s="18"/>
      <c r="G112" s="18"/>
      <c r="I112" s="18"/>
    </row>
    <row r="113" spans="2:9" s="6" customFormat="1" x14ac:dyDescent="0.3">
      <c r="B113" s="18"/>
      <c r="F113" s="18"/>
      <c r="G113" s="18"/>
      <c r="I113" s="18"/>
    </row>
    <row r="114" spans="2:9" s="6" customFormat="1" x14ac:dyDescent="0.3">
      <c r="B114" s="18"/>
      <c r="F114" s="18"/>
      <c r="G114" s="18"/>
      <c r="I114" s="18"/>
    </row>
    <row r="115" spans="2:9" s="6" customFormat="1" x14ac:dyDescent="0.3">
      <c r="B115" s="18"/>
      <c r="F115" s="18"/>
      <c r="G115" s="18"/>
      <c r="I115" s="18"/>
    </row>
    <row r="116" spans="2:9" s="6" customFormat="1" x14ac:dyDescent="0.3">
      <c r="B116" s="18"/>
      <c r="F116" s="18"/>
      <c r="G116" s="18"/>
      <c r="I116" s="18"/>
    </row>
    <row r="117" spans="2:9" s="6" customFormat="1" x14ac:dyDescent="0.3">
      <c r="B117" s="18"/>
      <c r="F117" s="18"/>
      <c r="G117" s="18"/>
      <c r="I117" s="18"/>
    </row>
    <row r="118" spans="2:9" s="6" customFormat="1" x14ac:dyDescent="0.3">
      <c r="B118" s="18"/>
      <c r="F118" s="18"/>
      <c r="G118" s="18"/>
      <c r="I118" s="18"/>
    </row>
    <row r="119" spans="2:9" s="6" customFormat="1" x14ac:dyDescent="0.3">
      <c r="B119" s="18"/>
      <c r="F119" s="18"/>
      <c r="G119" s="18"/>
      <c r="I119" s="18"/>
    </row>
    <row r="120" spans="2:9" s="6" customFormat="1" x14ac:dyDescent="0.3">
      <c r="B120" s="18"/>
      <c r="F120" s="18"/>
      <c r="G120" s="18"/>
      <c r="I120" s="18"/>
    </row>
  </sheetData>
  <sheetProtection algorithmName="SHA-512" hashValue="hGeTXW1kfXC5XnrJIhmmDRdrlJurF/zNAP3pi7kawG+JF8BqoMSIsJ/u1zexXwKCqFuGzg6IdiKfQ8L3rwz6ZA==" saltValue="37ETGhMr6K1J4PPxH50e+g==" spinCount="100000" sheet="1" objects="1" scenarios="1"/>
  <mergeCells count="10">
    <mergeCell ref="M2:N2"/>
    <mergeCell ref="M4:N4"/>
    <mergeCell ref="M6:N6"/>
    <mergeCell ref="A1:D1"/>
    <mergeCell ref="H2:J2"/>
    <mergeCell ref="H4:J4"/>
    <mergeCell ref="H6:J6"/>
    <mergeCell ref="E2:G2"/>
    <mergeCell ref="E4:G4"/>
    <mergeCell ref="E6:G6"/>
  </mergeCells>
  <conditionalFormatting sqref="H9:H10 H12 H14:H24 H26:H48 H66:H78">
    <cfRule type="expression" dxfId="33" priority="43">
      <formula>IF(ISBLANK(H9),NOT(ISBLANK(E9)),IF(IFERROR(MATCH(H9,Konto,0),-1)&gt;0,0,1))</formula>
    </cfRule>
  </conditionalFormatting>
  <conditionalFormatting sqref="I9:I10 I12 I14:I24 I26:I48 I66:I78">
    <cfRule type="expression" dxfId="32" priority="41">
      <formula>IF(ISBLANK(I9),0,IF(IFERROR(MATCH(I9,MWSTCode,0),-1)&gt;0,0,1))</formula>
    </cfRule>
  </conditionalFormatting>
  <conditionalFormatting sqref="F9:G10 F12:G12 F14:G24 F26:G48 F66:G78">
    <cfRule type="expression" dxfId="31" priority="40">
      <formula>MODE(ISBLANK($F9)+ISBLANK($G9)+1,2)</formula>
    </cfRule>
  </conditionalFormatting>
  <conditionalFormatting sqref="E9:E10 E12 E14:E24 E26:E48 E66:E78">
    <cfRule type="expression" dxfId="30" priority="37">
      <formula>IF(ISBLANK(E9),0,OR(NOT(ISNUMBER(E9)),E9&lt;0))</formula>
    </cfRule>
  </conditionalFormatting>
  <conditionalFormatting sqref="B9:B10 B12 B26:B48 B14:B24 B66:B78">
    <cfRule type="expression" dxfId="29" priority="36">
      <formula>IF(ISBLANK(B9),0,IFERROR(IF(DATE(YEAR(B9),MONTH(B9),DAY(B9))=B9,0,1),1))</formula>
    </cfRule>
  </conditionalFormatting>
  <conditionalFormatting sqref="D9:D10 D12 D14:D24 D26:D48 D66:D78">
    <cfRule type="expression" dxfId="28" priority="32">
      <formula>IF(ISBLANK(D9),NOT(ISBLANK(E9)),0)</formula>
    </cfRule>
  </conditionalFormatting>
  <conditionalFormatting sqref="H11">
    <cfRule type="expression" dxfId="27" priority="31">
      <formula>IF(ISBLANK(H11),NOT(ISBLANK(E11)),IF(IFERROR(MATCH(H11,Konto,0),-1)&gt;0,0,1))</formula>
    </cfRule>
  </conditionalFormatting>
  <conditionalFormatting sqref="I11">
    <cfRule type="expression" dxfId="26" priority="30">
      <formula>IF(ISBLANK(I11),0,IF(IFERROR(MATCH(I11,MWSTCode,0),-1)&gt;0,0,1))</formula>
    </cfRule>
  </conditionalFormatting>
  <conditionalFormatting sqref="F11:G11">
    <cfRule type="expression" dxfId="25" priority="29">
      <formula>MODE(ISBLANK($F11)+ISBLANK($G11)+1,2)</formula>
    </cfRule>
  </conditionalFormatting>
  <conditionalFormatting sqref="E11">
    <cfRule type="expression" dxfId="24" priority="28">
      <formula>IF(ISBLANK(E11),0,OR(NOT(ISNUMBER(E11)),E11&lt;0))</formula>
    </cfRule>
  </conditionalFormatting>
  <conditionalFormatting sqref="B11">
    <cfRule type="expression" dxfId="23" priority="27">
      <formula>IF(ISBLANK(B11),0,IFERROR(IF(DATE(YEAR(B11),MONTH(B11),DAY(B11))=B11,0,1),1))</formula>
    </cfRule>
  </conditionalFormatting>
  <conditionalFormatting sqref="D11">
    <cfRule type="expression" dxfId="22" priority="26">
      <formula>IF(ISBLANK(D11),NOT(ISBLANK(E11)),0)</formula>
    </cfRule>
  </conditionalFormatting>
  <conditionalFormatting sqref="H13">
    <cfRule type="expression" dxfId="21" priority="25">
      <formula>IF(ISBLANK(H13),NOT(ISBLANK(E13)),IF(IFERROR(MATCH(H13,Konto,0),-1)&gt;0,0,1))</formula>
    </cfRule>
  </conditionalFormatting>
  <conditionalFormatting sqref="I13">
    <cfRule type="expression" dxfId="20" priority="24">
      <formula>IF(ISBLANK(I13),0,IF(IFERROR(MATCH(I13,MWSTCode,0),-1)&gt;0,0,1))</formula>
    </cfRule>
  </conditionalFormatting>
  <conditionalFormatting sqref="F13:G13">
    <cfRule type="expression" dxfId="19" priority="23">
      <formula>MODE(ISBLANK($F13)+ISBLANK($G13)+1,2)</formula>
    </cfRule>
  </conditionalFormatting>
  <conditionalFormatting sqref="E13">
    <cfRule type="expression" dxfId="18" priority="22">
      <formula>IF(ISBLANK(E13),0,OR(NOT(ISNUMBER(E13)),E13&lt;0))</formula>
    </cfRule>
  </conditionalFormatting>
  <conditionalFormatting sqref="D13">
    <cfRule type="expression" dxfId="17" priority="20">
      <formula>IF(ISBLANK(D13),NOT(ISBLANK(E13)),0)</formula>
    </cfRule>
  </conditionalFormatting>
  <conditionalFormatting sqref="H25">
    <cfRule type="expression" dxfId="16" priority="19">
      <formula>IF(ISBLANK(H25),NOT(ISBLANK(E25)),IF(IFERROR(MATCH(H25,Konto,0),-1)&gt;0,0,1))</formula>
    </cfRule>
  </conditionalFormatting>
  <conditionalFormatting sqref="I25">
    <cfRule type="expression" dxfId="15" priority="18">
      <formula>IF(ISBLANK(I25),0,IF(IFERROR(MATCH(I25,MWSTCode,0),-1)&gt;0,0,1))</formula>
    </cfRule>
  </conditionalFormatting>
  <conditionalFormatting sqref="F25:G25">
    <cfRule type="expression" dxfId="14" priority="17">
      <formula>MODE(ISBLANK($F25)+ISBLANK($G25)+1,2)</formula>
    </cfRule>
  </conditionalFormatting>
  <conditionalFormatting sqref="E25">
    <cfRule type="expression" dxfId="13" priority="16">
      <formula>IF(ISBLANK(E25),0,OR(NOT(ISNUMBER(E25)),E25&lt;0))</formula>
    </cfRule>
  </conditionalFormatting>
  <conditionalFormatting sqref="B25">
    <cfRule type="expression" dxfId="12" priority="15">
      <formula>IF(ISBLANK(B25),0,IFERROR(IF(DATE(YEAR(B25),MONTH(B25),DAY(B25))=B25,0,1),1))</formula>
    </cfRule>
  </conditionalFormatting>
  <conditionalFormatting sqref="D25">
    <cfRule type="expression" dxfId="11" priority="14">
      <formula>IF(ISBLANK(D25),NOT(ISBLANK(E25)),0)</formula>
    </cfRule>
  </conditionalFormatting>
  <conditionalFormatting sqref="H49:H65">
    <cfRule type="expression" dxfId="10" priority="7">
      <formula>IF(ISBLANK(H49),NOT(ISBLANK(E49)),IF(IFERROR(MATCH(H49,Konto,0),-1)&gt;0,0,1))</formula>
    </cfRule>
  </conditionalFormatting>
  <conditionalFormatting sqref="I49:I65">
    <cfRule type="expression" dxfId="9" priority="6">
      <formula>IF(ISBLANK(I49),0,IF(IFERROR(MATCH(I49,MWSTCode,0),-1)&gt;0,0,1))</formula>
    </cfRule>
  </conditionalFormatting>
  <conditionalFormatting sqref="F49:G65">
    <cfRule type="expression" dxfId="8" priority="5">
      <formula>MODE(ISBLANK($F49)+ISBLANK($G49)+1,2)</formula>
    </cfRule>
  </conditionalFormatting>
  <conditionalFormatting sqref="E49:E65">
    <cfRule type="expression" dxfId="7" priority="4">
      <formula>IF(ISBLANK(E49),0,OR(NOT(ISNUMBER(E49)),E49&lt;0))</formula>
    </cfRule>
  </conditionalFormatting>
  <conditionalFormatting sqref="B49:B65">
    <cfRule type="expression" dxfId="6" priority="3">
      <formula>IF(ISBLANK(B49),0,IFERROR(IF(DATE(YEAR(B49),MONTH(B49),DAY(B49))=B49,0,1),1))</formula>
    </cfRule>
  </conditionalFormatting>
  <conditionalFormatting sqref="D49:D65">
    <cfRule type="expression" dxfId="5" priority="2">
      <formula>IF(ISBLANK(D49),NOT(ISBLANK(E49)),0)</formula>
    </cfRule>
  </conditionalFormatting>
  <conditionalFormatting sqref="B13">
    <cfRule type="expression" dxfId="4" priority="1">
      <formula>IF(ISBLANK(B13),0,IFERROR(IF(DATE(YEAR(B13),MONTH(B13),DAY(B13))=B13,0,1),1))</formula>
    </cfRule>
  </conditionalFormatting>
  <dataValidations count="4">
    <dataValidation type="list" allowBlank="1" showInputMessage="1" showErrorMessage="1" sqref="M6" xr:uid="{00000000-0002-0000-0000-000000000000}">
      <formula1>Rundungsmodi</formula1>
    </dataValidation>
    <dataValidation type="list" errorStyle="information" allowBlank="1" showInputMessage="1" sqref="H9:H78" xr:uid="{00000000-0002-0000-0000-000001000000}">
      <formula1>Konto</formula1>
    </dataValidation>
    <dataValidation type="list" allowBlank="1" showInputMessage="1" sqref="I9:I78" xr:uid="{00000000-0002-0000-0000-000002000000}">
      <formula1>MWSTCode</formula1>
    </dataValidation>
    <dataValidation type="decimal" operator="greaterThan" allowBlank="1" showInputMessage="1" showErrorMessage="1" errorTitle="Kurs muss grösser als 0 sein" error="Kurs muss grösser als 0 sein." sqref="G9:G78" xr:uid="{00000000-0002-0000-0000-000003000000}">
      <formula1>0</formula1>
    </dataValidation>
  </dataValidations>
  <pageMargins left="0.59055118110236227" right="0.59055118110236227" top="0.74803149606299213" bottom="0.59055118110236227" header="0.31496062992125984" footer="0.31496062992125984"/>
  <pageSetup paperSize="9" orientation="landscape" horizontalDpi="4294967293" r:id="rId1"/>
  <headerFooter>
    <oddHeader>&amp;R&amp;G</oddHeader>
    <oddFooter>&amp;L&amp;"Segoe UI Semilight,Standard"&amp;10&amp;F&amp;R&amp;"Segoe UI Semilight,Standard"&amp;10&amp;P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Button8">
              <controlPr defaultSize="0" print="0" autoFill="0" autoPict="0">
                <anchor moveWithCells="1" sizeWithCells="1">
                  <from>
                    <xdr:col>7</xdr:col>
                    <xdr:colOff>123825</xdr:colOff>
                    <xdr:row>1</xdr:row>
                    <xdr:rowOff>76200</xdr:rowOff>
                  </from>
                  <to>
                    <xdr:col>8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L14" sqref="L14"/>
    </sheetView>
  </sheetViews>
  <sheetFormatPr baseColWidth="10" defaultColWidth="8.42578125" defaultRowHeight="15" x14ac:dyDescent="0.25"/>
  <cols>
    <col min="1" max="1" width="31.7109375" bestFit="1" customWidth="1"/>
    <col min="2" max="2" width="9.7109375" customWidth="1"/>
    <col min="3" max="3" width="7.42578125" bestFit="1" customWidth="1"/>
    <col min="4" max="4" width="4.5703125" bestFit="1" customWidth="1"/>
    <col min="5" max="5" width="6.42578125" bestFit="1" customWidth="1"/>
    <col min="6" max="6" width="5.42578125" bestFit="1" customWidth="1"/>
    <col min="7" max="7" width="5" bestFit="1" customWidth="1"/>
    <col min="8" max="9" width="6.42578125" bestFit="1" customWidth="1"/>
    <col min="10" max="10" width="8" bestFit="1" customWidth="1"/>
  </cols>
  <sheetData>
    <row r="1" spans="1:9" ht="25.5" x14ac:dyDescent="0.5">
      <c r="A1" s="87" t="s">
        <v>55</v>
      </c>
      <c r="B1" s="88"/>
      <c r="C1" s="89"/>
      <c r="D1" s="12"/>
      <c r="E1" s="12"/>
    </row>
    <row r="2" spans="1:9" ht="7.5" customHeight="1" x14ac:dyDescent="0.5">
      <c r="A2" s="12"/>
      <c r="B2" s="7"/>
      <c r="C2" s="12"/>
      <c r="D2" s="14"/>
      <c r="E2" s="12"/>
    </row>
    <row r="3" spans="1:9" x14ac:dyDescent="0.25">
      <c r="A3" s="46" t="s">
        <v>28</v>
      </c>
      <c r="B3" s="85" t="str">
        <f>Erfassung!$H$2</f>
        <v>XY AG</v>
      </c>
      <c r="C3" s="86"/>
      <c r="F3" s="19" t="s">
        <v>31</v>
      </c>
      <c r="G3" s="48">
        <f>Erfassung!$M$2</f>
        <v>2019</v>
      </c>
    </row>
    <row r="4" spans="1:9" ht="5.25" customHeight="1" x14ac:dyDescent="0.3">
      <c r="A4" s="13"/>
      <c r="B4" s="6"/>
      <c r="C4" s="6"/>
      <c r="D4" s="2"/>
      <c r="E4" s="19"/>
      <c r="F4" s="2"/>
      <c r="G4" s="45"/>
    </row>
    <row r="5" spans="1:9" x14ac:dyDescent="0.25">
      <c r="A5" s="46" t="s">
        <v>29</v>
      </c>
      <c r="B5" s="85" t="str">
        <f>Erfassung!$H$4</f>
        <v>Thomas Muster</v>
      </c>
      <c r="C5" s="86"/>
      <c r="D5" s="19"/>
      <c r="F5" s="19" t="s">
        <v>5</v>
      </c>
      <c r="G5" s="48">
        <f>Erfassung!$M$4</f>
        <v>2260</v>
      </c>
    </row>
    <row r="6" spans="1:9" ht="5.25" customHeight="1" x14ac:dyDescent="0.3">
      <c r="A6" s="13"/>
      <c r="B6" s="6"/>
      <c r="C6" s="6"/>
      <c r="D6" s="3"/>
      <c r="E6" s="1"/>
    </row>
    <row r="7" spans="1:9" x14ac:dyDescent="0.25">
      <c r="A7" s="46" t="s">
        <v>30</v>
      </c>
      <c r="B7" s="85" t="str">
        <f>Erfassung!$H$6</f>
        <v>1. Q. 2019</v>
      </c>
      <c r="C7" s="86"/>
      <c r="D7" s="19"/>
      <c r="E7" s="47"/>
    </row>
    <row r="8" spans="1:9" ht="9" customHeight="1" x14ac:dyDescent="0.25"/>
    <row r="9" spans="1:9" x14ac:dyDescent="0.25">
      <c r="A9" s="56" t="s">
        <v>56</v>
      </c>
      <c r="B9" s="71">
        <f>GETPIVOTDATA("[Measures].[Summe von Betrag ohne]",$A$11)+GETPIVOTDATA("[Measures].[Summe von Betrag VSM 7,7]",$A$11)+GETPIVOTDATA("[Measures].[Summe von Betrag VSM 2,5]",$A$11)+GETPIVOTDATA("[Measures].[Summe von Betrag VSB 7,7]",$A$11)+GETPIVOTDATA("[Measures].[Summe von Betrag VSB 2,5]",$A$11)+GETPIVOTDATA("[Measures].[Summe von Betrag VSB 3,7]",$A$11)</f>
        <v>508.16640000000001</v>
      </c>
      <c r="C9" s="65">
        <f>GETPIVOTDATA("[Measures].[Summe von Betrag VSM 7,7]",$A$11)/107.7*7.7</f>
        <v>32.172701949860723</v>
      </c>
      <c r="D9" s="65">
        <f>GETPIVOTDATA("[Measures].[Summe von Betrag VSM 2,5]",$A$11)/102.5*2.5</f>
        <v>0</v>
      </c>
      <c r="E9" s="65">
        <f>GETPIVOTDATA("[Measures].[Summe von Betrag VSB 7,7]",$A$11)/107.7*7.7</f>
        <v>1.0867223769730734</v>
      </c>
      <c r="F9" s="65">
        <f>GETPIVOTDATA("[Measures].[Summe von Betrag VSB 2,5]",$A$11)/102.5*2.5</f>
        <v>0.14146341463414636</v>
      </c>
      <c r="G9" s="65">
        <f>GETPIVOTDATA("[Measures].[Summe von Betrag VSB 3,7]",$A$11)/103.7*3.7</f>
        <v>0</v>
      </c>
      <c r="H9" s="72">
        <f>C9+D9+E9+F9+G9</f>
        <v>33.40088774146794</v>
      </c>
      <c r="I9" s="73">
        <f>GETPIVOTDATA("[Measures].[Summe von VSM]",$A$11)+GETPIVOTDATA("[Measures].[Summe von VSB]",$A$11)</f>
        <v>33.400887741467947</v>
      </c>
    </row>
    <row r="10" spans="1:9" ht="6.75" customHeight="1" x14ac:dyDescent="0.25">
      <c r="A10" s="56"/>
      <c r="B10" s="56"/>
    </row>
    <row r="11" spans="1:9" ht="62.25" x14ac:dyDescent="0.25">
      <c r="A11" s="52" t="s">
        <v>5</v>
      </c>
      <c r="B11" s="55" t="s">
        <v>67</v>
      </c>
      <c r="C11" s="55" t="s">
        <v>57</v>
      </c>
      <c r="D11" s="55" t="s">
        <v>58</v>
      </c>
      <c r="E11" s="55" t="s">
        <v>59</v>
      </c>
      <c r="F11" s="55" t="s">
        <v>60</v>
      </c>
      <c r="G11" s="55" t="s">
        <v>61</v>
      </c>
      <c r="H11" s="55" t="s">
        <v>24</v>
      </c>
      <c r="I11" s="55" t="s">
        <v>25</v>
      </c>
    </row>
    <row r="12" spans="1:9" x14ac:dyDescent="0.25">
      <c r="A12" s="53" t="s">
        <v>42</v>
      </c>
      <c r="B12" s="64">
        <v>0</v>
      </c>
      <c r="C12" s="64">
        <v>450</v>
      </c>
      <c r="D12" s="64">
        <v>0</v>
      </c>
      <c r="E12" s="64">
        <v>0</v>
      </c>
      <c r="F12" s="64">
        <v>0</v>
      </c>
      <c r="G12" s="64">
        <v>0</v>
      </c>
      <c r="H12" s="64">
        <v>32.172701949860731</v>
      </c>
      <c r="I12" s="64">
        <v>0</v>
      </c>
    </row>
    <row r="13" spans="1:9" x14ac:dyDescent="0.25">
      <c r="A13" s="53" t="s">
        <v>13</v>
      </c>
      <c r="B13" s="64">
        <v>0</v>
      </c>
      <c r="C13" s="64">
        <v>0</v>
      </c>
      <c r="D13" s="64">
        <v>0</v>
      </c>
      <c r="E13" s="64">
        <v>0</v>
      </c>
      <c r="F13" s="64">
        <v>5.8</v>
      </c>
      <c r="G13" s="64">
        <v>0</v>
      </c>
      <c r="H13" s="64">
        <v>0</v>
      </c>
      <c r="I13" s="64">
        <v>0.14146341463414636</v>
      </c>
    </row>
    <row r="14" spans="1:9" x14ac:dyDescent="0.25">
      <c r="A14" s="53" t="s">
        <v>12</v>
      </c>
      <c r="B14" s="64">
        <v>0</v>
      </c>
      <c r="C14" s="64">
        <v>0</v>
      </c>
      <c r="D14" s="64">
        <v>0</v>
      </c>
      <c r="E14" s="64">
        <v>15.2</v>
      </c>
      <c r="F14" s="64">
        <v>0</v>
      </c>
      <c r="G14" s="64">
        <v>0</v>
      </c>
      <c r="H14" s="64">
        <v>0</v>
      </c>
      <c r="I14" s="64">
        <v>1.0867223769730734</v>
      </c>
    </row>
    <row r="15" spans="1:9" x14ac:dyDescent="0.25">
      <c r="A15" s="53" t="s">
        <v>43</v>
      </c>
      <c r="B15" s="64">
        <v>37.166399999999996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</row>
    <row r="16" spans="1:9" x14ac:dyDescent="0.25">
      <c r="A16" s="53" t="s">
        <v>22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</row>
    <row r="17" spans="1:9" x14ac:dyDescent="0.25">
      <c r="A17" s="53" t="s">
        <v>23</v>
      </c>
      <c r="B17" s="64">
        <v>37.166399999999996</v>
      </c>
      <c r="C17" s="64">
        <v>450</v>
      </c>
      <c r="D17" s="64">
        <v>0</v>
      </c>
      <c r="E17" s="64">
        <v>15.2</v>
      </c>
      <c r="F17" s="64">
        <v>5.8</v>
      </c>
      <c r="G17" s="64">
        <v>0</v>
      </c>
      <c r="H17" s="64">
        <v>32.172701949860731</v>
      </c>
      <c r="I17" s="64">
        <v>1.2281857916072196</v>
      </c>
    </row>
  </sheetData>
  <mergeCells count="4">
    <mergeCell ref="B3:C3"/>
    <mergeCell ref="B5:C5"/>
    <mergeCell ref="B7:C7"/>
    <mergeCell ref="A1:C1"/>
  </mergeCells>
  <pageMargins left="0.7" right="0.7" top="0.75" bottom="0.75" header="0.3" footer="0.3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8">
              <controlPr defaultSize="0" print="0" autoFill="0" autoPict="0">
                <anchor moveWithCells="1" sizeWithCells="1">
                  <from>
                    <xdr:col>0</xdr:col>
                    <xdr:colOff>123825</xdr:colOff>
                    <xdr:row>3</xdr:row>
                    <xdr:rowOff>76200</xdr:rowOff>
                  </from>
                  <to>
                    <xdr:col>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Button 2">
              <controlPr defaultSize="0" print="0" autoFill="0" autoPict="0">
                <anchor moveWithCells="1" sizeWithCells="1">
                  <from>
                    <xdr:col>1</xdr:col>
                    <xdr:colOff>123825</xdr:colOff>
                    <xdr:row>2</xdr:row>
                    <xdr:rowOff>76200</xdr:rowOff>
                  </from>
                  <to>
                    <xdr:col>2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C47"/>
  <sheetViews>
    <sheetView zoomScaleNormal="100" workbookViewId="0">
      <selection activeCell="F18" sqref="F18"/>
    </sheetView>
  </sheetViews>
  <sheetFormatPr baseColWidth="10" defaultColWidth="8.85546875" defaultRowHeight="12" x14ac:dyDescent="0.2"/>
  <cols>
    <col min="1" max="1" width="8.85546875" style="12"/>
    <col min="2" max="2" width="36.28515625" style="12" bestFit="1" customWidth="1"/>
    <col min="3" max="3" width="29.7109375" style="12" customWidth="1"/>
    <col min="4" max="16384" width="8.85546875" style="12"/>
  </cols>
  <sheetData>
    <row r="1" spans="1:2" ht="25.5" x14ac:dyDescent="0.5">
      <c r="A1" s="87" t="s">
        <v>37</v>
      </c>
      <c r="B1" s="88"/>
    </row>
    <row r="4" spans="1:2" x14ac:dyDescent="0.2">
      <c r="B4" s="12" t="s">
        <v>8</v>
      </c>
    </row>
    <row r="5" spans="1:2" x14ac:dyDescent="0.2">
      <c r="B5" s="50" t="s">
        <v>42</v>
      </c>
    </row>
    <row r="6" spans="1:2" x14ac:dyDescent="0.2">
      <c r="B6" s="50" t="s">
        <v>13</v>
      </c>
    </row>
    <row r="7" spans="1:2" x14ac:dyDescent="0.2">
      <c r="B7" s="50" t="s">
        <v>38</v>
      </c>
    </row>
    <row r="8" spans="1:2" x14ac:dyDescent="0.2">
      <c r="B8" s="51" t="s">
        <v>39</v>
      </c>
    </row>
    <row r="9" spans="1:2" x14ac:dyDescent="0.2">
      <c r="B9" s="51" t="s">
        <v>12</v>
      </c>
    </row>
    <row r="10" spans="1:2" x14ac:dyDescent="0.2">
      <c r="B10" s="51" t="s">
        <v>21</v>
      </c>
    </row>
    <row r="11" spans="1:2" x14ac:dyDescent="0.2">
      <c r="B11" s="51" t="s">
        <v>20</v>
      </c>
    </row>
    <row r="12" spans="1:2" x14ac:dyDescent="0.2">
      <c r="B12" s="51" t="s">
        <v>19</v>
      </c>
    </row>
    <row r="13" spans="1:2" x14ac:dyDescent="0.2">
      <c r="B13" s="51" t="s">
        <v>18</v>
      </c>
    </row>
    <row r="14" spans="1:2" x14ac:dyDescent="0.2">
      <c r="B14" s="51" t="s">
        <v>17</v>
      </c>
    </row>
    <row r="15" spans="1:2" x14ac:dyDescent="0.2">
      <c r="B15" s="51" t="s">
        <v>16</v>
      </c>
    </row>
    <row r="16" spans="1:2" x14ac:dyDescent="0.2">
      <c r="B16" s="51" t="s">
        <v>43</v>
      </c>
    </row>
    <row r="17" spans="2:2" x14ac:dyDescent="0.2">
      <c r="B17" s="51" t="s">
        <v>15</v>
      </c>
    </row>
    <row r="18" spans="2:2" x14ac:dyDescent="0.2">
      <c r="B18" s="51" t="s">
        <v>14</v>
      </c>
    </row>
    <row r="19" spans="2:2" x14ac:dyDescent="0.2">
      <c r="B19" s="51"/>
    </row>
    <row r="20" spans="2:2" x14ac:dyDescent="0.2">
      <c r="B20" s="51"/>
    </row>
    <row r="21" spans="2:2" x14ac:dyDescent="0.2">
      <c r="B21" s="51"/>
    </row>
    <row r="22" spans="2:2" x14ac:dyDescent="0.2">
      <c r="B22" s="51"/>
    </row>
    <row r="23" spans="2:2" x14ac:dyDescent="0.2">
      <c r="B23" s="51"/>
    </row>
    <row r="24" spans="2:2" x14ac:dyDescent="0.2">
      <c r="B24" s="51"/>
    </row>
    <row r="25" spans="2:2" x14ac:dyDescent="0.2">
      <c r="B25" s="51"/>
    </row>
    <row r="26" spans="2:2" x14ac:dyDescent="0.2">
      <c r="B26" s="51"/>
    </row>
    <row r="27" spans="2:2" x14ac:dyDescent="0.2">
      <c r="B27" s="51"/>
    </row>
    <row r="28" spans="2:2" x14ac:dyDescent="0.2">
      <c r="B28" s="51"/>
    </row>
    <row r="29" spans="2:2" x14ac:dyDescent="0.2">
      <c r="B29" s="51"/>
    </row>
    <row r="30" spans="2:2" x14ac:dyDescent="0.2">
      <c r="B30" s="51"/>
    </row>
    <row r="31" spans="2:2" x14ac:dyDescent="0.2">
      <c r="B31" s="51"/>
    </row>
    <row r="32" spans="2:2" x14ac:dyDescent="0.2">
      <c r="B32" s="51"/>
    </row>
    <row r="33" spans="2:3" x14ac:dyDescent="0.2">
      <c r="B33" s="51"/>
    </row>
    <row r="36" spans="2:3" x14ac:dyDescent="0.2">
      <c r="B36" s="12" t="s">
        <v>6</v>
      </c>
      <c r="C36" s="12" t="s">
        <v>10</v>
      </c>
    </row>
    <row r="37" spans="2:3" x14ac:dyDescent="0.2">
      <c r="B37" s="49" t="s">
        <v>9</v>
      </c>
      <c r="C37" s="49">
        <v>0</v>
      </c>
    </row>
    <row r="38" spans="2:3" x14ac:dyDescent="0.2">
      <c r="B38" s="49" t="s">
        <v>57</v>
      </c>
      <c r="C38" s="49">
        <v>7.6999999999999999E-2</v>
      </c>
    </row>
    <row r="39" spans="2:3" x14ac:dyDescent="0.2">
      <c r="B39" s="49" t="s">
        <v>58</v>
      </c>
      <c r="C39" s="49">
        <v>2.5000000000000001E-2</v>
      </c>
    </row>
    <row r="40" spans="2:3" x14ac:dyDescent="0.2">
      <c r="B40" s="49" t="s">
        <v>59</v>
      </c>
      <c r="C40" s="49">
        <v>7.6999999999999999E-2</v>
      </c>
    </row>
    <row r="41" spans="2:3" x14ac:dyDescent="0.2">
      <c r="B41" s="49" t="s">
        <v>60</v>
      </c>
      <c r="C41" s="49">
        <v>2.5000000000000001E-2</v>
      </c>
    </row>
    <row r="42" spans="2:3" x14ac:dyDescent="0.2">
      <c r="B42" s="49" t="s">
        <v>61</v>
      </c>
      <c r="C42" s="49">
        <v>3.6999999999999998E-2</v>
      </c>
    </row>
    <row r="45" spans="2:3" x14ac:dyDescent="0.2">
      <c r="B45" s="12" t="s">
        <v>35</v>
      </c>
    </row>
    <row r="46" spans="2:3" x14ac:dyDescent="0.2">
      <c r="B46" s="12" t="s">
        <v>33</v>
      </c>
    </row>
    <row r="47" spans="2:3" x14ac:dyDescent="0.2">
      <c r="B47" s="12" t="s">
        <v>34</v>
      </c>
    </row>
  </sheetData>
  <sheetProtection algorithmName="SHA-512" hashValue="iA2p0T9Dc1T5xRxmysQiWtf3yXemDfbS1QP4PZbMaNTQ5xKiAGw4b7IaXjIH7WF0EZFOQJr2i0DGmVstHBjFLQ==" saltValue="62Fy10LDfWxtz97OxBz2jw==" spinCount="100000" sheet="1" objects="1" scenarios="1" formatCells="0" formatColumns="0" formatRows="0" sort="0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&amp;R&amp;G</oddHeader>
    <oddFooter>&amp;L&amp;"Segoe UI Semilight,Standard"&amp;10&amp;F&amp;R&amp;"Segoe UI Semilight,Standard"&amp;10&amp;P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Erfassung</vt:lpstr>
      <vt:lpstr>Verbuchung</vt:lpstr>
      <vt:lpstr>Konfiguration</vt:lpstr>
      <vt:lpstr>Erfassung!Drucktitel</vt:lpstr>
      <vt:lpstr>Konto</vt:lpstr>
      <vt:lpstr>MWSTCode</vt:lpstr>
      <vt:lpstr>MWSTSteuersatz</vt:lpstr>
      <vt:lpstr>Rundung</vt:lpstr>
      <vt:lpstr>Rundungsmodi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2019-01-22T17:13:32Z</dcterms:modified>
</cp:coreProperties>
</file>